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E:\ARCHITECTURE &amp; ENGINEERING SERVICES LTD\WEBSITE\CURRENT\public_html\"/>
    </mc:Choice>
  </mc:AlternateContent>
  <xr:revisionPtr revIDLastSave="0" documentId="13_ncr:1_{1EDD110D-41C0-4F2B-949D-13DD3D64CE3C}" xr6:coauthVersionLast="47" xr6:coauthVersionMax="47" xr10:uidLastSave="{00000000-0000-0000-0000-000000000000}"/>
  <bookViews>
    <workbookView xWindow="-120" yWindow="-120" windowWidth="29040" windowHeight="17640" tabRatio="856" activeTab="1" xr2:uid="{D16F0149-D25A-4FDE-8C16-ACA615420C94}"/>
  </bookViews>
  <sheets>
    <sheet name="REGISTRATION-LICENCE-DISCLAIMER" sheetId="4" r:id="rId1"/>
    <sheet name="CONSULTANCY FEES CALCULATOR" sheetId="3" r:id="rId2"/>
    <sheet name="EXCHANGE RATES" sheetId="2" r:id="rId3"/>
    <sheet name="Table 1" sheetId="12" r:id="rId4"/>
  </sheets>
  <definedNames>
    <definedName name="_fica_status">#REF!</definedName>
    <definedName name="_xlnm._FilterDatabase" localSheetId="2" hidden="1">'EXCHANGE RATES'!$B$6:$G$150</definedName>
    <definedName name="_pay_freq">#REF!</definedName>
    <definedName name="_step2c_W4_new">#REF!</definedName>
    <definedName name="_w4_fs_new">#REF!</definedName>
    <definedName name="_w4_fs_old">#REF!</definedName>
    <definedName name="_w4_type">#REF!</definedName>
    <definedName name="Category" hidden="1">#REF!</definedName>
    <definedName name="Contract_Duration">'CONSULTANCY FEES CALCULATOR'!$N$22</definedName>
    <definedName name="Contract_Weeks_In_Year">'CONSULTANCY FEES CALCULATOR'!$N$21</definedName>
    <definedName name="Days_In_Week">'CONSULTANCY FEES CALCULATOR'!$N$20</definedName>
    <definedName name="DBStore" hidden="1">#REF!</definedName>
    <definedName name="employees">OFFSET(#REF!,0,0,COUNTA(#REF!),1)</definedName>
    <definedName name="Equip_Fees1">'CONSULTANCY FEES CALCULATOR'!$X$49</definedName>
    <definedName name="Equip_Fees2">'CONSULTANCY FEES CALCULATOR'!$Y$49</definedName>
    <definedName name="Equip_Fees3">'CONSULTANCY FEES CALCULATOR'!$Z$49</definedName>
    <definedName name="Expenses1">'CONSULTANCY FEES CALCULATOR'!$X$17</definedName>
    <definedName name="Expenses2">'CONSULTANCY FEES CALCULATOR'!$Y$17</definedName>
    <definedName name="Expenses3">'CONSULTANCY FEES CALCULATOR'!$Z$17</definedName>
    <definedName name="ExternalData_1" localSheetId="3" hidden="1">'Table 1'!$A$1:$F$147</definedName>
    <definedName name="HMRC_VAT">#REF!</definedName>
    <definedName name="HourlyRate1">'CONSULTANCY FEES CALCULATOR'!$F$12</definedName>
    <definedName name="HourlyRate2">'CONSULTANCY FEES CALCULATOR'!$F$13</definedName>
    <definedName name="HourlyRate3">'CONSULTANCY FEES CALCULATOR'!$F$14</definedName>
    <definedName name="Hours_In_Day">'CONSULTANCY FEES CALCULATOR'!$N$18</definedName>
    <definedName name="Hours_In_Week">'CONSULTANCY FEES CALCULATOR'!$N$19</definedName>
    <definedName name="HOURS_PER_MONTH">#REF!</definedName>
    <definedName name="HOURS_PER_WEEK">#REF!</definedName>
    <definedName name="HOURS_PER_YEAR">#REF!</definedName>
    <definedName name="ISO_CODE_SYMBOL" localSheetId="2">'EXCHANGE RATES'!$B$7:$B$150</definedName>
    <definedName name="Loads" hidden="1">#REF!,#REF!,#REF!,#REF!,#REF!,#REF!,#REF!</definedName>
    <definedName name="Main_Category" hidden="1">#REF!</definedName>
    <definedName name="Months_In_Year">'CONSULTANCY FEES CALCULATOR'!$N$26</definedName>
    <definedName name="Payroll">#REF!</definedName>
    <definedName name="_xlnm.Print_Area" localSheetId="1">'CONSULTANCY FEES CALCULATOR'!$C$1:$W$58</definedName>
    <definedName name="_xlnm.Print_Area" localSheetId="2">'EXCHANGE RATES'!$B$1:$G$150</definedName>
    <definedName name="_xlnm.Print_Titles" localSheetId="2">'EXCHANGE RATES'!$1:$6</definedName>
    <definedName name="RATE_PER_HOUR">#REF!</definedName>
    <definedName name="Subsidiary_Category" hidden="1">#REF!</definedName>
    <definedName name="Total_Wedding_Budget">#REF!</definedName>
    <definedName name="TRANSACTION">#REF!</definedName>
    <definedName name="Weeks_In_Year">'CONSULTANCY FEES CALCULATOR'!$N$27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 i="3" l="1" a="1"/>
  <c r="N1" i="3" s="1"/>
  <c r="C4" i="2" a="1"/>
  <c r="C4" i="2" s="1"/>
  <c r="C5" i="2" a="1"/>
  <c r="C5" i="2" s="1"/>
  <c r="E150" i="2"/>
  <c r="D150" i="2"/>
  <c r="B150" i="2"/>
  <c r="E149" i="2"/>
  <c r="D149" i="2"/>
  <c r="B149" i="2"/>
  <c r="E148" i="2"/>
  <c r="D148" i="2"/>
  <c r="B148" i="2"/>
  <c r="E147" i="2"/>
  <c r="D147" i="2"/>
  <c r="B147" i="2"/>
  <c r="E146" i="2"/>
  <c r="D146" i="2"/>
  <c r="B146" i="2"/>
  <c r="E145" i="2"/>
  <c r="D145" i="2"/>
  <c r="B145" i="2"/>
  <c r="E144" i="2"/>
  <c r="D144" i="2"/>
  <c r="B144" i="2"/>
  <c r="E143" i="2"/>
  <c r="D143" i="2"/>
  <c r="B143" i="2"/>
  <c r="E142" i="2"/>
  <c r="D142" i="2"/>
  <c r="B142" i="2"/>
  <c r="E141" i="2"/>
  <c r="D141" i="2"/>
  <c r="B141" i="2"/>
  <c r="E140" i="2"/>
  <c r="D140" i="2"/>
  <c r="B140" i="2"/>
  <c r="E139" i="2"/>
  <c r="D139" i="2"/>
  <c r="B139" i="2"/>
  <c r="E138" i="2"/>
  <c r="D138" i="2"/>
  <c r="B138" i="2"/>
  <c r="E137" i="2"/>
  <c r="D137" i="2"/>
  <c r="B137" i="2"/>
  <c r="E136" i="2"/>
  <c r="D136" i="2"/>
  <c r="B136" i="2"/>
  <c r="E135" i="2"/>
  <c r="D135" i="2"/>
  <c r="B135" i="2"/>
  <c r="E134" i="2"/>
  <c r="D134" i="2"/>
  <c r="B134" i="2"/>
  <c r="E133" i="2"/>
  <c r="D133" i="2"/>
  <c r="B133" i="2"/>
  <c r="E132" i="2"/>
  <c r="D132" i="2"/>
  <c r="B132" i="2"/>
  <c r="E131" i="2"/>
  <c r="D131" i="2"/>
  <c r="B131" i="2"/>
  <c r="E130" i="2"/>
  <c r="D130" i="2"/>
  <c r="B130" i="2"/>
  <c r="E129" i="2"/>
  <c r="D129" i="2"/>
  <c r="B129" i="2"/>
  <c r="E128" i="2"/>
  <c r="D128" i="2"/>
  <c r="B128" i="2"/>
  <c r="E127" i="2"/>
  <c r="D127" i="2"/>
  <c r="B127" i="2"/>
  <c r="E126" i="2"/>
  <c r="D126" i="2"/>
  <c r="B126" i="2"/>
  <c r="E125" i="2"/>
  <c r="D125" i="2"/>
  <c r="B125" i="2"/>
  <c r="E124" i="2"/>
  <c r="D124" i="2"/>
  <c r="B124" i="2"/>
  <c r="E123" i="2"/>
  <c r="D123" i="2"/>
  <c r="B123" i="2"/>
  <c r="E122" i="2"/>
  <c r="D122" i="2"/>
  <c r="B122" i="2"/>
  <c r="E121" i="2"/>
  <c r="D121" i="2"/>
  <c r="B121" i="2"/>
  <c r="E120" i="2"/>
  <c r="D120" i="2"/>
  <c r="B120" i="2"/>
  <c r="E119" i="2"/>
  <c r="D119" i="2"/>
  <c r="B119" i="2"/>
  <c r="E118" i="2"/>
  <c r="D118" i="2"/>
  <c r="B118" i="2"/>
  <c r="E117" i="2"/>
  <c r="D117" i="2"/>
  <c r="B117" i="2"/>
  <c r="E116" i="2"/>
  <c r="D116" i="2"/>
  <c r="B116" i="2"/>
  <c r="E115" i="2"/>
  <c r="D115" i="2"/>
  <c r="B115" i="2"/>
  <c r="E114" i="2"/>
  <c r="D114" i="2"/>
  <c r="B114" i="2"/>
  <c r="E113" i="2"/>
  <c r="D113" i="2"/>
  <c r="B113" i="2"/>
  <c r="E112" i="2"/>
  <c r="D112" i="2"/>
  <c r="B112" i="2"/>
  <c r="E111" i="2"/>
  <c r="D111" i="2"/>
  <c r="B111" i="2"/>
  <c r="E110" i="2"/>
  <c r="D110" i="2"/>
  <c r="B110" i="2"/>
  <c r="E109" i="2"/>
  <c r="D109" i="2"/>
  <c r="B109" i="2"/>
  <c r="E108" i="2"/>
  <c r="D108" i="2"/>
  <c r="B108" i="2"/>
  <c r="E107" i="2"/>
  <c r="D107" i="2"/>
  <c r="B107" i="2"/>
  <c r="E106" i="2"/>
  <c r="D106" i="2"/>
  <c r="B106" i="2"/>
  <c r="E105" i="2"/>
  <c r="D105" i="2"/>
  <c r="B105" i="2"/>
  <c r="E104" i="2"/>
  <c r="D104" i="2"/>
  <c r="B104" i="2"/>
  <c r="E103" i="2"/>
  <c r="D103" i="2"/>
  <c r="B103" i="2"/>
  <c r="E102" i="2"/>
  <c r="D102" i="2"/>
  <c r="B102" i="2"/>
  <c r="E101" i="2"/>
  <c r="D101" i="2"/>
  <c r="B101" i="2"/>
  <c r="E100" i="2"/>
  <c r="D100" i="2"/>
  <c r="B100" i="2"/>
  <c r="E99" i="2"/>
  <c r="D99" i="2"/>
  <c r="B99" i="2"/>
  <c r="E98" i="2"/>
  <c r="D98" i="2"/>
  <c r="B98" i="2"/>
  <c r="E97" i="2"/>
  <c r="D97" i="2"/>
  <c r="B97" i="2"/>
  <c r="E96" i="2"/>
  <c r="D96" i="2"/>
  <c r="B96" i="2"/>
  <c r="E95" i="2"/>
  <c r="D95" i="2"/>
  <c r="B95" i="2"/>
  <c r="E94" i="2"/>
  <c r="D94" i="2"/>
  <c r="B94" i="2"/>
  <c r="E93" i="2"/>
  <c r="D93" i="2"/>
  <c r="B93" i="2"/>
  <c r="E92" i="2"/>
  <c r="D92" i="2"/>
  <c r="B92" i="2"/>
  <c r="E91" i="2"/>
  <c r="D91" i="2"/>
  <c r="B91" i="2"/>
  <c r="E90" i="2"/>
  <c r="D90" i="2"/>
  <c r="B90" i="2"/>
  <c r="E89" i="2"/>
  <c r="D89" i="2"/>
  <c r="B89" i="2"/>
  <c r="E88" i="2"/>
  <c r="D88" i="2"/>
  <c r="B88" i="2"/>
  <c r="E87" i="2"/>
  <c r="D87" i="2"/>
  <c r="B87" i="2"/>
  <c r="E86" i="2"/>
  <c r="D86" i="2"/>
  <c r="B86" i="2"/>
  <c r="E85" i="2"/>
  <c r="D85" i="2"/>
  <c r="B85" i="2"/>
  <c r="E84" i="2"/>
  <c r="D84" i="2"/>
  <c r="B84" i="2"/>
  <c r="E83" i="2"/>
  <c r="D83" i="2"/>
  <c r="B83" i="2"/>
  <c r="E82" i="2"/>
  <c r="D82" i="2"/>
  <c r="B82" i="2"/>
  <c r="E81" i="2"/>
  <c r="D81" i="2"/>
  <c r="B81" i="2"/>
  <c r="E80" i="2"/>
  <c r="D80" i="2"/>
  <c r="B80" i="2"/>
  <c r="E79" i="2"/>
  <c r="D79" i="2"/>
  <c r="B79" i="2"/>
  <c r="E78" i="2"/>
  <c r="D78" i="2"/>
  <c r="B78" i="2"/>
  <c r="E77" i="2"/>
  <c r="D77" i="2"/>
  <c r="B77" i="2"/>
  <c r="E76" i="2"/>
  <c r="D76" i="2"/>
  <c r="B76" i="2"/>
  <c r="E75" i="2"/>
  <c r="D75" i="2"/>
  <c r="B75" i="2"/>
  <c r="E74" i="2"/>
  <c r="D74" i="2"/>
  <c r="B74" i="2"/>
  <c r="E73" i="2"/>
  <c r="D73" i="2"/>
  <c r="B73" i="2"/>
  <c r="E72" i="2"/>
  <c r="D72" i="2"/>
  <c r="B72" i="2"/>
  <c r="E71" i="2"/>
  <c r="D71" i="2"/>
  <c r="B71" i="2"/>
  <c r="E70" i="2"/>
  <c r="D70" i="2"/>
  <c r="B70" i="2"/>
  <c r="E69" i="2"/>
  <c r="D69" i="2"/>
  <c r="B69" i="2"/>
  <c r="E68" i="2"/>
  <c r="D68" i="2"/>
  <c r="B68" i="2"/>
  <c r="E67" i="2"/>
  <c r="D67" i="2"/>
  <c r="B67" i="2"/>
  <c r="E66" i="2"/>
  <c r="D66" i="2"/>
  <c r="B66" i="2"/>
  <c r="E65" i="2"/>
  <c r="D65" i="2"/>
  <c r="B65" i="2"/>
  <c r="E64" i="2"/>
  <c r="D64" i="2"/>
  <c r="B64" i="2"/>
  <c r="E63" i="2"/>
  <c r="D63" i="2"/>
  <c r="B63" i="2"/>
  <c r="E62" i="2"/>
  <c r="D62" i="2"/>
  <c r="B62" i="2"/>
  <c r="E61" i="2"/>
  <c r="D61" i="2"/>
  <c r="B61" i="2"/>
  <c r="E60" i="2"/>
  <c r="D60" i="2"/>
  <c r="B60" i="2"/>
  <c r="E59" i="2"/>
  <c r="D59" i="2"/>
  <c r="B59" i="2"/>
  <c r="E58" i="2"/>
  <c r="D58" i="2"/>
  <c r="B58" i="2"/>
  <c r="E57" i="2"/>
  <c r="D57" i="2"/>
  <c r="B57" i="2"/>
  <c r="E56" i="2"/>
  <c r="D56" i="2"/>
  <c r="B56" i="2"/>
  <c r="E55" i="2"/>
  <c r="D55" i="2"/>
  <c r="B55" i="2"/>
  <c r="E54" i="2"/>
  <c r="D54" i="2"/>
  <c r="B54" i="2"/>
  <c r="E53" i="2"/>
  <c r="D53" i="2"/>
  <c r="B53" i="2"/>
  <c r="E52" i="2"/>
  <c r="D52" i="2"/>
  <c r="B52" i="2"/>
  <c r="E51" i="2"/>
  <c r="D51" i="2"/>
  <c r="B51" i="2"/>
  <c r="E50" i="2"/>
  <c r="D50" i="2"/>
  <c r="B50" i="2"/>
  <c r="E49" i="2"/>
  <c r="D49" i="2"/>
  <c r="B49" i="2"/>
  <c r="E48" i="2"/>
  <c r="D48" i="2"/>
  <c r="B48" i="2"/>
  <c r="E47" i="2"/>
  <c r="D47" i="2"/>
  <c r="B47" i="2"/>
  <c r="E46" i="2"/>
  <c r="D46" i="2"/>
  <c r="B46" i="2"/>
  <c r="E45" i="2"/>
  <c r="D45" i="2"/>
  <c r="B45" i="2"/>
  <c r="E44" i="2"/>
  <c r="D44" i="2"/>
  <c r="B44" i="2"/>
  <c r="E43" i="2"/>
  <c r="D43" i="2"/>
  <c r="B43" i="2"/>
  <c r="E42" i="2"/>
  <c r="D42" i="2"/>
  <c r="B42" i="2"/>
  <c r="E41" i="2"/>
  <c r="D41" i="2"/>
  <c r="B41" i="2"/>
  <c r="E40" i="2"/>
  <c r="D40" i="2"/>
  <c r="B40" i="2"/>
  <c r="E39" i="2"/>
  <c r="D39" i="2"/>
  <c r="B39" i="2"/>
  <c r="E38" i="2"/>
  <c r="D38" i="2"/>
  <c r="B38" i="2"/>
  <c r="E37" i="2"/>
  <c r="D37" i="2"/>
  <c r="B37" i="2"/>
  <c r="E36" i="2"/>
  <c r="D36" i="2"/>
  <c r="B36" i="2"/>
  <c r="E35" i="2"/>
  <c r="D35" i="2"/>
  <c r="B35" i="2"/>
  <c r="E34" i="2"/>
  <c r="D34" i="2"/>
  <c r="B34" i="2"/>
  <c r="E33" i="2"/>
  <c r="D33" i="2"/>
  <c r="B33" i="2"/>
  <c r="E32" i="2"/>
  <c r="D32" i="2"/>
  <c r="B32" i="2"/>
  <c r="E31" i="2"/>
  <c r="D31" i="2"/>
  <c r="B31" i="2"/>
  <c r="E30" i="2"/>
  <c r="D30" i="2"/>
  <c r="B30" i="2"/>
  <c r="E29" i="2"/>
  <c r="D29" i="2"/>
  <c r="B29" i="2"/>
  <c r="E28" i="2"/>
  <c r="D28" i="2"/>
  <c r="B28" i="2"/>
  <c r="E27" i="2"/>
  <c r="D27" i="2"/>
  <c r="B27" i="2"/>
  <c r="E26" i="2"/>
  <c r="D26" i="2"/>
  <c r="B26" i="2"/>
  <c r="E25" i="2"/>
  <c r="D25" i="2"/>
  <c r="B25" i="2"/>
  <c r="E24" i="2"/>
  <c r="D24" i="2"/>
  <c r="B24" i="2"/>
  <c r="E23" i="2"/>
  <c r="D23" i="2"/>
  <c r="B23" i="2"/>
  <c r="E22" i="2"/>
  <c r="D22" i="2"/>
  <c r="B22" i="2"/>
  <c r="E21" i="2"/>
  <c r="D21" i="2"/>
  <c r="B21" i="2"/>
  <c r="E20" i="2"/>
  <c r="D20" i="2"/>
  <c r="B20" i="2"/>
  <c r="E19" i="2"/>
  <c r="D19" i="2"/>
  <c r="B19" i="2"/>
  <c r="E18" i="2"/>
  <c r="D18" i="2"/>
  <c r="B18" i="2"/>
  <c r="E17" i="2"/>
  <c r="D17" i="2"/>
  <c r="B17" i="2"/>
  <c r="E16" i="2"/>
  <c r="D16" i="2"/>
  <c r="B16" i="2"/>
  <c r="E15" i="2"/>
  <c r="D15" i="2"/>
  <c r="B15" i="2"/>
  <c r="E14" i="2"/>
  <c r="D14" i="2"/>
  <c r="B14" i="2"/>
  <c r="E13" i="2"/>
  <c r="D13" i="2"/>
  <c r="B13" i="2"/>
  <c r="E12" i="2"/>
  <c r="D12" i="2"/>
  <c r="B12" i="2"/>
  <c r="E11" i="2"/>
  <c r="D11" i="2"/>
  <c r="B11" i="2"/>
  <c r="E10" i="2"/>
  <c r="D10" i="2"/>
  <c r="B10" i="2"/>
  <c r="E9" i="2"/>
  <c r="D9" i="2"/>
  <c r="B9" i="2"/>
  <c r="E8" i="2"/>
  <c r="D8" i="2"/>
  <c r="B8" i="2"/>
  <c r="E7" i="2"/>
  <c r="D7" i="2"/>
  <c r="B7" i="2"/>
  <c r="R43" i="3" l="1"/>
  <c r="C43" i="3"/>
  <c r="C45" i="3" l="1"/>
  <c r="G55" i="3"/>
  <c r="G54" i="3"/>
  <c r="G53" i="3"/>
  <c r="G52" i="3"/>
  <c r="G51" i="3"/>
  <c r="G48" i="3"/>
  <c r="G47" i="3"/>
  <c r="G46" i="3"/>
  <c r="G45" i="3"/>
  <c r="G44" i="3"/>
  <c r="N10" i="3"/>
  <c r="T6" i="3"/>
  <c r="Q6" i="3"/>
  <c r="V6" i="3"/>
  <c r="D6" i="3"/>
  <c r="E5" i="3"/>
  <c r="N6" i="3"/>
  <c r="X4" i="3"/>
  <c r="X6" i="3" s="1"/>
  <c r="G42" i="3"/>
  <c r="G35" i="3"/>
  <c r="G29" i="3"/>
  <c r="G22" i="3"/>
  <c r="G41" i="3"/>
  <c r="G40" i="3"/>
  <c r="G33" i="3"/>
  <c r="G28" i="3"/>
  <c r="G27" i="3"/>
  <c r="G20" i="3"/>
  <c r="G38" i="3"/>
  <c r="G31" i="3"/>
  <c r="N24" i="3"/>
  <c r="G25" i="3"/>
  <c r="N19" i="3"/>
  <c r="G18" i="3"/>
  <c r="G39" i="3"/>
  <c r="G32" i="3"/>
  <c r="G26" i="3"/>
  <c r="G19" i="3"/>
  <c r="G34" i="3"/>
  <c r="G21" i="3"/>
  <c r="C17" i="3" l="1"/>
  <c r="C30" i="3"/>
  <c r="P17" i="3" l="1"/>
  <c r="S17" i="3" s="1"/>
  <c r="H6" i="3"/>
  <c r="R36" i="3"/>
  <c r="S29" i="3"/>
  <c r="S39" i="3"/>
  <c r="S40" i="3"/>
  <c r="S38" i="3"/>
  <c r="S32" i="3"/>
  <c r="S33" i="3"/>
  <c r="S34" i="3"/>
  <c r="S35" i="3"/>
  <c r="S31" i="3"/>
  <c r="R41" i="3"/>
  <c r="K10" i="3"/>
  <c r="F10" i="3"/>
  <c r="N3" i="3"/>
  <c r="S41" i="3" l="1"/>
  <c r="S43" i="3" s="1"/>
  <c r="S36" i="3"/>
  <c r="S49" i="3" l="1"/>
  <c r="C32" i="3" l="1"/>
  <c r="C19" i="3"/>
  <c r="A14" i="3"/>
  <c r="I14" i="3" s="1"/>
  <c r="Z16" i="3" s="1"/>
  <c r="A13" i="3"/>
  <c r="L13" i="3" s="1"/>
  <c r="A12" i="3"/>
  <c r="Q5" i="3"/>
  <c r="E5" i="2"/>
  <c r="E1" i="2" a="1"/>
  <c r="E1" i="2" s="1"/>
  <c r="Z48" i="3" l="1"/>
  <c r="Z28" i="3"/>
  <c r="V42" i="3"/>
  <c r="V48" i="3"/>
  <c r="V30" i="3"/>
  <c r="Z3" i="3"/>
  <c r="V28" i="3"/>
  <c r="Z5" i="3"/>
  <c r="V16" i="3"/>
  <c r="K12" i="3"/>
  <c r="X43" i="3" s="1"/>
  <c r="L12" i="3"/>
  <c r="B13" i="3" s="1"/>
  <c r="I13" i="3"/>
  <c r="Y16" i="3" s="1"/>
  <c r="I12" i="3"/>
  <c r="X16" i="3" s="1"/>
  <c r="E14" i="3"/>
  <c r="E13" i="3"/>
  <c r="K14" i="3"/>
  <c r="Z43" i="3" s="1"/>
  <c r="E12" i="3"/>
  <c r="K13" i="3"/>
  <c r="Y43" i="3" s="1"/>
  <c r="L14" i="3"/>
  <c r="K20" i="3" l="1"/>
  <c r="K19" i="3"/>
  <c r="K21" i="3"/>
  <c r="Y28" i="3"/>
  <c r="Y48" i="3"/>
  <c r="X28" i="3"/>
  <c r="X48" i="3"/>
  <c r="Y49" i="3"/>
  <c r="U49" i="3" s="1"/>
  <c r="X49" i="3"/>
  <c r="T49" i="3" s="1"/>
  <c r="Z49" i="3"/>
  <c r="Z29" i="3"/>
  <c r="U42" i="3"/>
  <c r="V43" i="3"/>
  <c r="T42" i="3"/>
  <c r="T28" i="3"/>
  <c r="Y29" i="3"/>
  <c r="U48" i="3"/>
  <c r="T30" i="3"/>
  <c r="C7" i="3"/>
  <c r="D7" i="3"/>
  <c r="I20" i="3"/>
  <c r="I21" i="3"/>
  <c r="I22" i="3"/>
  <c r="K22" i="3"/>
  <c r="Y32" i="3"/>
  <c r="U32" i="3" s="1"/>
  <c r="Y17" i="3"/>
  <c r="Y34" i="3"/>
  <c r="U34" i="3" s="1"/>
  <c r="Y31" i="3"/>
  <c r="U31" i="3" s="1"/>
  <c r="Y36" i="3"/>
  <c r="U36" i="3" s="1"/>
  <c r="Y33" i="3"/>
  <c r="U33" i="3" s="1"/>
  <c r="Y35" i="3"/>
  <c r="U35" i="3" s="1"/>
  <c r="F13" i="3"/>
  <c r="K18" i="3"/>
  <c r="I19" i="3"/>
  <c r="I18" i="3"/>
  <c r="X17" i="3"/>
  <c r="Z36" i="3"/>
  <c r="V36" i="3" s="1"/>
  <c r="F18" i="3"/>
  <c r="F14" i="3"/>
  <c r="Z17" i="3"/>
  <c r="X29" i="3"/>
  <c r="T29" i="3" s="1"/>
  <c r="T16" i="3"/>
  <c r="X39" i="3"/>
  <c r="T39" i="3" s="1"/>
  <c r="X38" i="3"/>
  <c r="Z38" i="3" s="1"/>
  <c r="V38" i="3" s="1"/>
  <c r="X31" i="3"/>
  <c r="T31" i="3" s="1"/>
  <c r="X41" i="3"/>
  <c r="T41" i="3" s="1"/>
  <c r="X40" i="3"/>
  <c r="Z40" i="3" s="1"/>
  <c r="V40" i="3" s="1"/>
  <c r="X35" i="3"/>
  <c r="T35" i="3" s="1"/>
  <c r="X34" i="3"/>
  <c r="T34" i="3" s="1"/>
  <c r="X33" i="3"/>
  <c r="T33" i="3" s="1"/>
  <c r="X32" i="3"/>
  <c r="X36" i="3"/>
  <c r="T36" i="3" s="1"/>
  <c r="Z33" i="3"/>
  <c r="V33" i="3" s="1"/>
  <c r="Z34" i="3"/>
  <c r="V34" i="3" s="1"/>
  <c r="Z31" i="3"/>
  <c r="V31" i="3" s="1"/>
  <c r="Z35" i="3"/>
  <c r="V35" i="3" s="1"/>
  <c r="Z32" i="3"/>
  <c r="V32" i="3" s="1"/>
  <c r="X3" i="3"/>
  <c r="X5" i="3"/>
  <c r="Y3" i="3"/>
  <c r="Y5" i="3"/>
  <c r="U30" i="3"/>
  <c r="U16" i="3"/>
  <c r="U28" i="3"/>
  <c r="Y4" i="3" l="1"/>
  <c r="U8" i="3" s="1"/>
  <c r="K32" i="3"/>
  <c r="U43" i="3"/>
  <c r="I50" i="3"/>
  <c r="I52" i="3"/>
  <c r="C50" i="3"/>
  <c r="U29" i="3"/>
  <c r="Y51" i="3"/>
  <c r="X51" i="3"/>
  <c r="V29" i="3"/>
  <c r="Z51" i="3"/>
  <c r="I55" i="3"/>
  <c r="I53" i="3"/>
  <c r="I54" i="3"/>
  <c r="I51" i="3"/>
  <c r="V49" i="3"/>
  <c r="T43" i="3"/>
  <c r="C55" i="3"/>
  <c r="K53" i="3"/>
  <c r="C54" i="3"/>
  <c r="K52" i="3"/>
  <c r="C53" i="3"/>
  <c r="K51" i="3"/>
  <c r="K54" i="3"/>
  <c r="C52" i="3"/>
  <c r="K50" i="3"/>
  <c r="C51" i="3"/>
  <c r="K55" i="3"/>
  <c r="I48" i="3"/>
  <c r="K48" i="3"/>
  <c r="K47" i="3"/>
  <c r="K46" i="3"/>
  <c r="K45" i="3"/>
  <c r="K44" i="3"/>
  <c r="I44" i="3"/>
  <c r="I45" i="3"/>
  <c r="F44" i="3"/>
  <c r="I46" i="3"/>
  <c r="I47" i="3"/>
  <c r="I42" i="3"/>
  <c r="K8" i="3"/>
  <c r="Y8" i="3"/>
  <c r="K9" i="3"/>
  <c r="Z8" i="3"/>
  <c r="X12" i="3"/>
  <c r="X13" i="3" s="1"/>
  <c r="X14" i="3"/>
  <c r="X15" i="3" s="1"/>
  <c r="Q7" i="3"/>
  <c r="X8" i="3"/>
  <c r="X9" i="3" s="1"/>
  <c r="X10" i="3" s="1"/>
  <c r="V7" i="3"/>
  <c r="U7" i="3"/>
  <c r="T7" i="3"/>
  <c r="S7" i="3"/>
  <c r="O7" i="3"/>
  <c r="K7" i="3"/>
  <c r="N9" i="3"/>
  <c r="K39" i="3"/>
  <c r="N8" i="3"/>
  <c r="K25" i="3"/>
  <c r="N7" i="3"/>
  <c r="Y40" i="3"/>
  <c r="U40" i="3" s="1"/>
  <c r="Z4" i="3"/>
  <c r="C27" i="3"/>
  <c r="I32" i="3"/>
  <c r="K42" i="3"/>
  <c r="I34" i="3"/>
  <c r="K34" i="3"/>
  <c r="K29" i="3"/>
  <c r="I33" i="3"/>
  <c r="I31" i="3"/>
  <c r="C41" i="3"/>
  <c r="Y38" i="3"/>
  <c r="U38" i="3" s="1"/>
  <c r="I29" i="3"/>
  <c r="H7" i="3"/>
  <c r="K40" i="3"/>
  <c r="Y39" i="3"/>
  <c r="U39" i="3" s="1"/>
  <c r="C29" i="3"/>
  <c r="Y41" i="3"/>
  <c r="U41" i="3" s="1"/>
  <c r="H9" i="3"/>
  <c r="C38" i="3"/>
  <c r="C42" i="3"/>
  <c r="K31" i="3"/>
  <c r="K33" i="3"/>
  <c r="C40" i="3"/>
  <c r="C39" i="3"/>
  <c r="H8" i="3"/>
  <c r="K35" i="3"/>
  <c r="I35" i="3"/>
  <c r="K28" i="3"/>
  <c r="K24" i="3"/>
  <c r="T17" i="3"/>
  <c r="K27" i="3"/>
  <c r="K26" i="3"/>
  <c r="I40" i="3"/>
  <c r="I27" i="3"/>
  <c r="F31" i="3"/>
  <c r="C26" i="3"/>
  <c r="C25" i="3"/>
  <c r="F7" i="3"/>
  <c r="I25" i="3"/>
  <c r="C28" i="3"/>
  <c r="C24" i="3"/>
  <c r="I26" i="3"/>
  <c r="I28" i="3"/>
  <c r="I24" i="3"/>
  <c r="K41" i="3"/>
  <c r="K37" i="3"/>
  <c r="K38" i="3"/>
  <c r="V17" i="3"/>
  <c r="U17" i="3"/>
  <c r="Z39" i="3"/>
  <c r="V39" i="3" s="1"/>
  <c r="Z41" i="3"/>
  <c r="V41" i="3" s="1"/>
  <c r="T38" i="3"/>
  <c r="T32" i="3"/>
  <c r="T40" i="3"/>
  <c r="Y12" i="3" l="1"/>
  <c r="Y13" i="3" s="1"/>
  <c r="Y6" i="3"/>
  <c r="O8" i="3"/>
  <c r="Q8" i="3"/>
  <c r="D8" i="3"/>
  <c r="C8" i="3"/>
  <c r="V8" i="3"/>
  <c r="T8" i="3"/>
  <c r="S8" i="3"/>
  <c r="Y14" i="3"/>
  <c r="Y15" i="3" s="1"/>
  <c r="Y9" i="3"/>
  <c r="Y10" i="3" s="1"/>
  <c r="O9" i="3"/>
  <c r="Q9" i="3"/>
  <c r="Z12" i="3"/>
  <c r="Z13" i="3" s="1"/>
  <c r="Z9" i="3"/>
  <c r="Z10" i="3" s="1"/>
  <c r="U9" i="3"/>
  <c r="S9" i="3"/>
  <c r="Z14" i="3"/>
  <c r="Z15" i="3" s="1"/>
  <c r="V9" i="3"/>
  <c r="T9" i="3"/>
  <c r="C9" i="3"/>
  <c r="Z6" i="3"/>
  <c r="C37" i="3"/>
  <c r="F9" i="3"/>
  <c r="I39" i="3"/>
  <c r="I38" i="3"/>
  <c r="I41" i="3"/>
  <c r="F8" i="3"/>
  <c r="I37" i="3"/>
  <c r="D9" i="3"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68AC909-F2FA-4D42-B95F-353F5476CCCD}" keepAlive="1" name="Query - Table 0" description="Connection to the 'Table 0' query in the workbook." type="5" refreshedVersion="8" background="1" saveData="1">
    <dbPr connection="Provider=Microsoft.Mashup.OleDb.1;Data Source=$Workbook$;Location=&quot;Table 0&quot;;Extended Properties=&quot;&quot;" command="SELECT * FROM [Table 0]"/>
  </connection>
  <connection id="2" xr16:uid="{3D9F1077-7C3E-4F34-ABBD-C5736014C955}" keepAlive="1" name="Query - Table 1" description="Connection to the 'Table 1' query in the workbook." type="5" refreshedVersion="8" background="1" saveData="1">
    <dbPr connection="Provider=Microsoft.Mashup.OleDb.1;Data Source=$Workbook$;Location=&quot;Table 1&quot;;Extended Properties=&quot;&quot;" command="SELECT * FROM [Table 1]"/>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<sst xmlns="http://schemas.openxmlformats.org/spreadsheetml/2006/main" count="1222" uniqueCount="645">
  <si>
    <t>Company:</t>
  </si>
  <si>
    <t xml:space="preserve">Architecture &amp; </t>
  </si>
  <si>
    <t>Tel:  07890 278110</t>
  </si>
  <si>
    <t xml:space="preserve"> Job No</t>
  </si>
  <si>
    <t xml:space="preserve">Engineering Services </t>
  </si>
  <si>
    <t>Jason.McCaffrey@Outlook.com</t>
  </si>
  <si>
    <t xml:space="preserve"> Made by</t>
  </si>
  <si>
    <t xml:space="preserve"> Checked</t>
  </si>
  <si>
    <t>AES_LTD_FEE_ESTIMATES_2021</t>
  </si>
  <si>
    <t>Limited</t>
  </si>
  <si>
    <t>http://www.Architecture.Engineering</t>
  </si>
  <si>
    <t>J.J.Mc</t>
  </si>
  <si>
    <t xml:space="preserve"> Project:</t>
  </si>
  <si>
    <t xml:space="preserve"> Page No</t>
  </si>
  <si>
    <t xml:space="preserve"> Date</t>
  </si>
  <si>
    <t xml:space="preserve"> Element:</t>
  </si>
  <si>
    <t xml:space="preserve"> Revision</t>
  </si>
  <si>
    <t xml:space="preserve"> Client:</t>
  </si>
  <si>
    <t>35-STORY</t>
  </si>
  <si>
    <t>A</t>
  </si>
  <si>
    <t>ID #</t>
  </si>
  <si>
    <t>C.S.</t>
  </si>
  <si>
    <t>U.S. Dollar</t>
  </si>
  <si>
    <t>$</t>
  </si>
  <si>
    <t>USD</t>
  </si>
  <si>
    <t>Euro</t>
  </si>
  <si>
    <t>€</t>
  </si>
  <si>
    <t>EUR</t>
  </si>
  <si>
    <t>£</t>
  </si>
  <si>
    <t>GBP</t>
  </si>
  <si>
    <t>Australian Dollar</t>
  </si>
  <si>
    <t>AUD</t>
  </si>
  <si>
    <t>Canadian Dollar</t>
  </si>
  <si>
    <t>CAD</t>
  </si>
  <si>
    <t>Japanese Yen</t>
  </si>
  <si>
    <t>¥</t>
  </si>
  <si>
    <t>JPY</t>
  </si>
  <si>
    <t>CHF</t>
  </si>
  <si>
    <t>Swiss Franc</t>
  </si>
  <si>
    <t>KMF</t>
  </si>
  <si>
    <t>؋</t>
  </si>
  <si>
    <t>L</t>
  </si>
  <si>
    <t>Algerian Dinar</t>
  </si>
  <si>
    <t>دج</t>
  </si>
  <si>
    <t>DZD</t>
  </si>
  <si>
    <t>Kz</t>
  </si>
  <si>
    <t>Argentine Peso</t>
  </si>
  <si>
    <t>ARS</t>
  </si>
  <si>
    <t>Armenia Dram</t>
  </si>
  <si>
    <t>֏</t>
  </si>
  <si>
    <t>AMD</t>
  </si>
  <si>
    <t>ƒ</t>
  </si>
  <si>
    <t>Azerbaijan Manat</t>
  </si>
  <si>
    <t>ман</t>
  </si>
  <si>
    <t>AZN</t>
  </si>
  <si>
    <t>Bahrain Dinar</t>
  </si>
  <si>
    <t>.د.ب</t>
  </si>
  <si>
    <t>BHD</t>
  </si>
  <si>
    <t>BDT</t>
  </si>
  <si>
    <t>Bangladeshi taka</t>
  </si>
  <si>
    <t>Belarussian Ruble</t>
  </si>
  <si>
    <t>Br</t>
  </si>
  <si>
    <t>BYN</t>
  </si>
  <si>
    <t>BZ$</t>
  </si>
  <si>
    <t>Bolivian Boliviano</t>
  </si>
  <si>
    <t>$b</t>
  </si>
  <si>
    <t>BOB</t>
  </si>
  <si>
    <t>KM</t>
  </si>
  <si>
    <t>P</t>
  </si>
  <si>
    <t>Brazilian Real</t>
  </si>
  <si>
    <t>R$</t>
  </si>
  <si>
    <t>BRL</t>
  </si>
  <si>
    <t>Bulgarian Lev</t>
  </si>
  <si>
    <t>лв</t>
  </si>
  <si>
    <t>BGN</t>
  </si>
  <si>
    <t>Fbu</t>
  </si>
  <si>
    <t>៛</t>
  </si>
  <si>
    <t>CVE</t>
  </si>
  <si>
    <t>XAF</t>
  </si>
  <si>
    <t>Central African CFA Franc</t>
  </si>
  <si>
    <t>₣</t>
  </si>
  <si>
    <t>Chilean Peso</t>
  </si>
  <si>
    <t>CLP</t>
  </si>
  <si>
    <t>Chinese Yuan</t>
  </si>
  <si>
    <t>CNY</t>
  </si>
  <si>
    <t>Colombian Peso</t>
  </si>
  <si>
    <t>COP</t>
  </si>
  <si>
    <t>CDF</t>
  </si>
  <si>
    <t>Costa Rican Colón</t>
  </si>
  <si>
    <t>₡</t>
  </si>
  <si>
    <t>CRC</t>
  </si>
  <si>
    <t>₱</t>
  </si>
  <si>
    <t>Czech Koruna</t>
  </si>
  <si>
    <t>Kč</t>
  </si>
  <si>
    <t>CZK</t>
  </si>
  <si>
    <t>Danish Krone</t>
  </si>
  <si>
    <t>kr</t>
  </si>
  <si>
    <t>DKK</t>
  </si>
  <si>
    <t>DJF</t>
  </si>
  <si>
    <t>Dominican Peso</t>
  </si>
  <si>
    <t>RD$</t>
  </si>
  <si>
    <t>DOP</t>
  </si>
  <si>
    <t>Egyptian Pound</t>
  </si>
  <si>
    <t>EGP</t>
  </si>
  <si>
    <t>ERN</t>
  </si>
  <si>
    <t>Br.</t>
  </si>
  <si>
    <t>D</t>
  </si>
  <si>
    <t>GEL</t>
  </si>
  <si>
    <t>Georgian lari</t>
  </si>
  <si>
    <t>¢</t>
  </si>
  <si>
    <t>Q</t>
  </si>
  <si>
    <t>GFr</t>
  </si>
  <si>
    <t>HTG</t>
  </si>
  <si>
    <t>Haitian gourde</t>
  </si>
  <si>
    <t>Hong Kong Dollar</t>
  </si>
  <si>
    <t>HKD</t>
  </si>
  <si>
    <t>Hungarian Forint</t>
  </si>
  <si>
    <t>Ft</t>
  </si>
  <si>
    <t>HUF</t>
  </si>
  <si>
    <t>Icelandic Krona</t>
  </si>
  <si>
    <t>ISK</t>
  </si>
  <si>
    <t>Indian Rupee</t>
  </si>
  <si>
    <t>₹</t>
  </si>
  <si>
    <t>INR</t>
  </si>
  <si>
    <t>Indonesian Rupiah</t>
  </si>
  <si>
    <t>Rp</t>
  </si>
  <si>
    <t>IDR</t>
  </si>
  <si>
    <t>﷼</t>
  </si>
  <si>
    <t>Iraqi dinar</t>
  </si>
  <si>
    <t>ع.د</t>
  </si>
  <si>
    <t>IQD</t>
  </si>
  <si>
    <t>Israeli New Sheqel</t>
  </si>
  <si>
    <t>₪</t>
  </si>
  <si>
    <t>ILS</t>
  </si>
  <si>
    <t>J$</t>
  </si>
  <si>
    <t>JOD</t>
  </si>
  <si>
    <t>Jordanian Dinar</t>
  </si>
  <si>
    <t>Kazakhstani Tenge</t>
  </si>
  <si>
    <t>KZT</t>
  </si>
  <si>
    <t>K</t>
  </si>
  <si>
    <t>Kuwaiti Dinar</t>
  </si>
  <si>
    <t>د.ك </t>
  </si>
  <si>
    <t>KWD</t>
  </si>
  <si>
    <t>Kyrgyzstan Som</t>
  </si>
  <si>
    <t>KGS</t>
  </si>
  <si>
    <t>Lebanese Pound</t>
  </si>
  <si>
    <t>LBP</t>
  </si>
  <si>
    <t>LSL</t>
  </si>
  <si>
    <t>Libyan Dinar</t>
  </si>
  <si>
    <t>ل.د</t>
  </si>
  <si>
    <t>LYD</t>
  </si>
  <si>
    <t>ден</t>
  </si>
  <si>
    <t>Ar</t>
  </si>
  <si>
    <t>MK</t>
  </si>
  <si>
    <t>Malaysian Ringgit</t>
  </si>
  <si>
    <t>RM</t>
  </si>
  <si>
    <t>MYR</t>
  </si>
  <si>
    <t>.ރ</t>
  </si>
  <si>
    <t>MRO</t>
  </si>
  <si>
    <t>MRU</t>
  </si>
  <si>
    <t>₨</t>
  </si>
  <si>
    <t>Mexican Peso</t>
  </si>
  <si>
    <t>MXN</t>
  </si>
  <si>
    <t>MDL</t>
  </si>
  <si>
    <t>Moldova Lei</t>
  </si>
  <si>
    <t>₮</t>
  </si>
  <si>
    <t>MAD</t>
  </si>
  <si>
    <t>Moroccan Dirham</t>
  </si>
  <si>
    <t>MT</t>
  </si>
  <si>
    <t>MMK</t>
  </si>
  <si>
    <t>Nepalese Rupee</t>
  </si>
  <si>
    <t>NPR</t>
  </si>
  <si>
    <t>New Taiwan Dollar</t>
  </si>
  <si>
    <t>NT$</t>
  </si>
  <si>
    <t>TWD</t>
  </si>
  <si>
    <t>TMT</t>
  </si>
  <si>
    <t>New Turkmenistan Manat</t>
  </si>
  <si>
    <t>New Zealand Dollar</t>
  </si>
  <si>
    <t>NZD</t>
  </si>
  <si>
    <t>C$</t>
  </si>
  <si>
    <t>Nigerian Naira</t>
  </si>
  <si>
    <t>₦</t>
  </si>
  <si>
    <t>NGN</t>
  </si>
  <si>
    <t>Norwegian Krone</t>
  </si>
  <si>
    <t>NOK</t>
  </si>
  <si>
    <t>Omani Rial</t>
  </si>
  <si>
    <t>OMR</t>
  </si>
  <si>
    <t>Pakistani Rupee</t>
  </si>
  <si>
    <t>PKR</t>
  </si>
  <si>
    <t>Panamanian Balboa</t>
  </si>
  <si>
    <t>B/.</t>
  </si>
  <si>
    <t>PAB</t>
  </si>
  <si>
    <t>Paraguayan Guaraní</t>
  </si>
  <si>
    <t>Gs</t>
  </si>
  <si>
    <t>PYG</t>
  </si>
  <si>
    <t>PEN</t>
  </si>
  <si>
    <t>Peruvian Nuevo Sol</t>
  </si>
  <si>
    <t>Philippine Peso</t>
  </si>
  <si>
    <t>PHP</t>
  </si>
  <si>
    <t>Polish Zloty</t>
  </si>
  <si>
    <t>zł</t>
  </si>
  <si>
    <t>PLN</t>
  </si>
  <si>
    <t>Qatari Rial</t>
  </si>
  <si>
    <t>QAR</t>
  </si>
  <si>
    <t>Romanian New Leu</t>
  </si>
  <si>
    <t>lei</t>
  </si>
  <si>
    <t>RON</t>
  </si>
  <si>
    <t>Russian Rouble</t>
  </si>
  <si>
    <t>₽</t>
  </si>
  <si>
    <t>RUB</t>
  </si>
  <si>
    <t>RWF</t>
  </si>
  <si>
    <t>WST</t>
  </si>
  <si>
    <t>STN</t>
  </si>
  <si>
    <t>Saudi Riyal</t>
  </si>
  <si>
    <t>SAR</t>
  </si>
  <si>
    <t>Serbian Dinar</t>
  </si>
  <si>
    <t>Дин.</t>
  </si>
  <si>
    <t>RSD</t>
  </si>
  <si>
    <t>Singapore Dollar</t>
  </si>
  <si>
    <t>SGD</t>
  </si>
  <si>
    <t>S</t>
  </si>
  <si>
    <t>South African Rand</t>
  </si>
  <si>
    <t>R</t>
  </si>
  <si>
    <t>ZAR</t>
  </si>
  <si>
    <t>South Korean Won</t>
  </si>
  <si>
    <t>₩</t>
  </si>
  <si>
    <t>KRW</t>
  </si>
  <si>
    <t>SSP</t>
  </si>
  <si>
    <t>Sri Lanka Rupee</t>
  </si>
  <si>
    <t>LKR</t>
  </si>
  <si>
    <t>ج.س.</t>
  </si>
  <si>
    <t>SZL</t>
  </si>
  <si>
    <t>Swedish Krona</t>
  </si>
  <si>
    <t>SEK</t>
  </si>
  <si>
    <t>TJS</t>
  </si>
  <si>
    <t>Tajikistan Ruble</t>
  </si>
  <si>
    <t>TSh</t>
  </si>
  <si>
    <t>Thai Baht</t>
  </si>
  <si>
    <t>฿</t>
  </si>
  <si>
    <t>THB</t>
  </si>
  <si>
    <t>T$</t>
  </si>
  <si>
    <t>TT$</t>
  </si>
  <si>
    <t>Tunisian Dinar</t>
  </si>
  <si>
    <t>د.ت</t>
  </si>
  <si>
    <t>TND</t>
  </si>
  <si>
    <t>Turkish Lira</t>
  </si>
  <si>
    <t>₺</t>
  </si>
  <si>
    <t>TRY</t>
  </si>
  <si>
    <t>U.A.E Dirham</t>
  </si>
  <si>
    <t>د.إ</t>
  </si>
  <si>
    <t>AED</t>
  </si>
  <si>
    <t>UGX</t>
  </si>
  <si>
    <t>Ukrainian Hryvnia</t>
  </si>
  <si>
    <t>₴</t>
  </si>
  <si>
    <t>UAH</t>
  </si>
  <si>
    <t>Uruguayan Peso</t>
  </si>
  <si>
    <t>$U</t>
  </si>
  <si>
    <t>UYU</t>
  </si>
  <si>
    <t>Uzbekistan Sum</t>
  </si>
  <si>
    <t>UZS</t>
  </si>
  <si>
    <t>VUV</t>
  </si>
  <si>
    <t>Venezuelan Bolivar</t>
  </si>
  <si>
    <t>Bs</t>
  </si>
  <si>
    <t>VES</t>
  </si>
  <si>
    <t>Vietnamese Dong</t>
  </si>
  <si>
    <t>₫</t>
  </si>
  <si>
    <t>VND</t>
  </si>
  <si>
    <t>XOF</t>
  </si>
  <si>
    <t>West African CFA Franc</t>
  </si>
  <si>
    <t>Architecture &amp; Engineering Services Limited</t>
  </si>
  <si>
    <t xml:space="preserve"> ISO + C.S.</t>
  </si>
  <si>
    <t>Name</t>
  </si>
  <si>
    <t>Position</t>
  </si>
  <si>
    <t>Project Director</t>
  </si>
  <si>
    <t>DURATIONS</t>
  </si>
  <si>
    <r>
      <t xml:space="preserve">Select Currency [1] </t>
    </r>
    <r>
      <rPr>
        <sz val="10.5"/>
        <color rgb="FF002060"/>
        <rFont val="Calibri"/>
        <family val="2"/>
        <scheme val="minor"/>
      </rPr>
      <t>▼</t>
    </r>
  </si>
  <si>
    <t>Hourly / Daily Income</t>
  </si>
  <si>
    <t>Weekly Income</t>
  </si>
  <si>
    <t>Monthly Income</t>
  </si>
  <si>
    <t>Annual Income</t>
  </si>
  <si>
    <t>Overall Contract Value</t>
  </si>
  <si>
    <r>
      <t xml:space="preserve">Select Currency [2] </t>
    </r>
    <r>
      <rPr>
        <sz val="10.5"/>
        <color rgb="FF002060"/>
        <rFont val="Calibri"/>
        <family val="2"/>
        <scheme val="minor"/>
      </rPr>
      <t>▼</t>
    </r>
  </si>
  <si>
    <r>
      <t xml:space="preserve">Select Currency [3] </t>
    </r>
    <r>
      <rPr>
        <sz val="10.5"/>
        <color rgb="FF002060"/>
        <rFont val="Calibri"/>
        <family val="2"/>
        <scheme val="minor"/>
      </rPr>
      <t>▼</t>
    </r>
  </si>
  <si>
    <t>Version</t>
  </si>
  <si>
    <t xml:space="preserve"> FOR MICROSOFT EXCEL</t>
  </si>
  <si>
    <r>
      <rPr>
        <sz val="10.5"/>
        <color indexed="56"/>
        <rFont val="Calibri"/>
        <family val="2"/>
      </rPr>
      <t xml:space="preserve">If you have comments, suggestions, bug reports or require information, 
please email:  </t>
    </r>
    <r>
      <rPr>
        <sz val="10.5"/>
        <color indexed="30"/>
        <rFont val="Calibri"/>
        <family val="2"/>
      </rPr>
      <t xml:space="preserve"> </t>
    </r>
    <r>
      <rPr>
        <u/>
        <sz val="10.5"/>
        <color indexed="30"/>
        <rFont val="Calibri"/>
        <family val="2"/>
      </rPr>
      <t xml:space="preserve"> </t>
    </r>
    <r>
      <rPr>
        <b/>
        <u/>
        <sz val="10.5"/>
        <color indexed="30"/>
        <rFont val="Calibri"/>
        <family val="2"/>
      </rPr>
      <t>JasonMcCaffrey@Outlook.com</t>
    </r>
  </si>
  <si>
    <t>Copyright</t>
  </si>
  <si>
    <t>©</t>
  </si>
  <si>
    <t>2020 Jason James McCaffrey. All rights reserved.</t>
  </si>
  <si>
    <t>Registration</t>
  </si>
  <si>
    <t>Single User Licence:</t>
  </si>
  <si>
    <t>Company multiple-user licence:</t>
  </si>
  <si>
    <t>£50 per copy installed</t>
  </si>
  <si>
    <t>Delivery will be by attachment to an email.</t>
  </si>
  <si>
    <t>To order a registered copy, please contact:
'AES LTD' using the email address listed above or by telephone:
    (Tel: +44 (0)7890 278110)</t>
  </si>
  <si>
    <t>Your Name:</t>
  </si>
  <si>
    <t xml:space="preserve">Address:  </t>
  </si>
  <si>
    <t>You should include your e-mail and postal address and a contact telephone number.</t>
  </si>
  <si>
    <t>Also include the name you require the spreadsheet registered to (30 characters maximum).</t>
  </si>
  <si>
    <t xml:space="preserve">Email: </t>
  </si>
  <si>
    <t>JasonMcCaffrey@Outlook.com</t>
  </si>
  <si>
    <t>Licence for Use and Distribution</t>
  </si>
  <si>
    <t>* The Author is Jason James McCaffrey.</t>
  </si>
  <si>
    <t>Disclaimer</t>
  </si>
  <si>
    <t>THIS SOFTWARE IS PROVIDED FOR EVALUATION ONLY, ON AN "AS IS" BASIS. THE AUTHOR DISCLAIMS ALL WARRANTIES RELATING TO THIS SOFTWARE, WHETHER EXPRESSED OR IMPLIED, INCLUDING BUT NOT LIMITED TO ANY IMPLIED WARRANTIES OF MERCHANTABILITY OR FITNESS FOR A PARTICULAR PURPOSE. THE AUTHOR* SHALL NOT BE LIABLE FOR ANY INDIRECT, CONSEQUENTIAL, OR INCIDENTAL DAMAGES ARISING OUT OF THE USE OR INABILITY TO USE SUCH SOFTWARE, EVEN IF THE AUTHOR HAS BEEN ADVISED OF THE POSSIBILITY OF SUCH DAMAGES OR CLAIMS.  THE PERSON USING THE SOFTWARE BEARS ALL RISK AS TO THE QUALITY AND PERFORMANCE OF THE SOFTWARE. ALTHOUGH EVERY EFFORT HAS BEEN MADE TO ENSURE THE ACCURACY OF THIS PROGRAM, USERS SHOULD VERIFY THE RESULTS FOR THEMSELVES.</t>
  </si>
  <si>
    <t>CONTRACT' Weeks Per Year</t>
  </si>
  <si>
    <t>Per Hour</t>
  </si>
  <si>
    <t>Currency Name</t>
  </si>
  <si>
    <t>Code</t>
  </si>
  <si>
    <t>Converter</t>
  </si>
  <si>
    <t>Chart</t>
  </si>
  <si>
    <t>GBP/USD</t>
  </si>
  <si>
    <t/>
  </si>
  <si>
    <t>GBP/EUR</t>
  </si>
  <si>
    <t>GBP/AUD</t>
  </si>
  <si>
    <t>GBP/CAD</t>
  </si>
  <si>
    <t>GBP/JPY</t>
  </si>
  <si>
    <t>GBP/CHF</t>
  </si>
  <si>
    <t>GBP/DZD</t>
  </si>
  <si>
    <t>GBP/ARS</t>
  </si>
  <si>
    <t>GBP/AMD</t>
  </si>
  <si>
    <t>GBP/AZN</t>
  </si>
  <si>
    <t>GBP/BHD</t>
  </si>
  <si>
    <t>GBP/BDT</t>
  </si>
  <si>
    <t>GBP/BYN</t>
  </si>
  <si>
    <t>GBP/BOB</t>
  </si>
  <si>
    <t>GBP/BRL</t>
  </si>
  <si>
    <t>GBP/XAF</t>
  </si>
  <si>
    <t>GBP/CLP</t>
  </si>
  <si>
    <t>GBP/CNY</t>
  </si>
  <si>
    <t>GBP/COP</t>
  </si>
  <si>
    <t>GBP/CRC</t>
  </si>
  <si>
    <t>GBP/CZK</t>
  </si>
  <si>
    <t>GBP/DKK</t>
  </si>
  <si>
    <t>GBP/DOP</t>
  </si>
  <si>
    <t>GBP/EGP</t>
  </si>
  <si>
    <t>GBP/GEL</t>
  </si>
  <si>
    <t>GBP/HTG</t>
  </si>
  <si>
    <t>GBP/HKD</t>
  </si>
  <si>
    <t>GBP/HUF</t>
  </si>
  <si>
    <t>GBP/ISK</t>
  </si>
  <si>
    <t>GBP/INR</t>
  </si>
  <si>
    <t>GBP/IDR</t>
  </si>
  <si>
    <t>GBP/IQD</t>
  </si>
  <si>
    <t>GBP/ILS</t>
  </si>
  <si>
    <t>GBP/JOD</t>
  </si>
  <si>
    <t>GBP/KZT</t>
  </si>
  <si>
    <t>GBP/KWD</t>
  </si>
  <si>
    <t>GBP/KGS</t>
  </si>
  <si>
    <t>GBP/LBP</t>
  </si>
  <si>
    <t>GBP/LYD</t>
  </si>
  <si>
    <t>GBP/MYR</t>
  </si>
  <si>
    <t>GBP/MXN</t>
  </si>
  <si>
    <t>GBP/MDL</t>
  </si>
  <si>
    <t>GBP/MAD</t>
  </si>
  <si>
    <t>GBP/NPR</t>
  </si>
  <si>
    <t>GBP/TWD</t>
  </si>
  <si>
    <t>GBP/TMT</t>
  </si>
  <si>
    <t>GBP/NZD</t>
  </si>
  <si>
    <t>GBP/NGN</t>
  </si>
  <si>
    <t>GBP/NOK</t>
  </si>
  <si>
    <t>GBP/OMR</t>
  </si>
  <si>
    <t>GBP/PKR</t>
  </si>
  <si>
    <t>GBP/PAB</t>
  </si>
  <si>
    <t>GBP/PYG</t>
  </si>
  <si>
    <t>GBP/PEN</t>
  </si>
  <si>
    <t>GBP/PHP</t>
  </si>
  <si>
    <t>GBP/PLN</t>
  </si>
  <si>
    <t>GBP/QAR</t>
  </si>
  <si>
    <t>GBP/RON</t>
  </si>
  <si>
    <t>GBP/RUB</t>
  </si>
  <si>
    <t>GBP/SAR</t>
  </si>
  <si>
    <t>GBP/RSD</t>
  </si>
  <si>
    <t>GBP/SGD</t>
  </si>
  <si>
    <t>GBP/ZAR</t>
  </si>
  <si>
    <t>GBP/KRW</t>
  </si>
  <si>
    <t>GBP/LKR</t>
  </si>
  <si>
    <t>GBP/SEK</t>
  </si>
  <si>
    <t>GBP/TJS</t>
  </si>
  <si>
    <t>GBP/THB</t>
  </si>
  <si>
    <t>GBP/TND</t>
  </si>
  <si>
    <t>GBP/TRY</t>
  </si>
  <si>
    <t>GBP/AED</t>
  </si>
  <si>
    <t>GBP/UAH</t>
  </si>
  <si>
    <t>GBP/UYU</t>
  </si>
  <si>
    <t>GBP/UZS</t>
  </si>
  <si>
    <t>GBP/VES</t>
  </si>
  <si>
    <t>GBP/VND</t>
  </si>
  <si>
    <t>GBP/XOF</t>
  </si>
  <si>
    <t>Currency Converter</t>
  </si>
  <si>
    <t>Contact Tel:  07890 278110</t>
  </si>
  <si>
    <t>Overall Project / Contract Duration</t>
  </si>
  <si>
    <t>PROJECT DIRECTOR - [ALL-IN]  RENUMERATION CURRENCY CALCULATIONS &amp; COMPARISONS</t>
  </si>
  <si>
    <t>PERMANENT</t>
  </si>
  <si>
    <t>INVERSE</t>
  </si>
  <si>
    <t>EQUIPMENT FEE'S</t>
  </si>
  <si>
    <t>HARDWARE &amp; SOFTWARE EQUIPMENT OVERHEADS (PER CONTRACTOR)</t>
  </si>
  <si>
    <t>Use the 'Grey Cells' with the Red Boarders to Enter the 'Numeric' values for the Time Periods / Durations and fees to change the variables in the calculations.</t>
  </si>
  <si>
    <t>SUB-TOTAL</t>
  </si>
  <si>
    <t>INPUT VALUES</t>
  </si>
  <si>
    <t>TOTAL ANNUAL EQUIPMENT CHARGES</t>
  </si>
  <si>
    <t>GBP £ ANNUAL</t>
  </si>
  <si>
    <t>ANNUAL EQUIPMENT FEES</t>
  </si>
  <si>
    <t>ANNUAL GBP £</t>
  </si>
  <si>
    <t>TOTAL ANNUAL EXPENSES</t>
  </si>
  <si>
    <t>CONTRACTOR FEE'S</t>
  </si>
  <si>
    <t>ANNUAL EXPENSES</t>
  </si>
  <si>
    <t>Overall Contract Fees</t>
  </si>
  <si>
    <t>Hourly / Daily Fee's</t>
  </si>
  <si>
    <t>Weekly Fee's</t>
  </si>
  <si>
    <t>Monthly Fee's</t>
  </si>
  <si>
    <t>Annual Fee's</t>
  </si>
  <si>
    <t>CONTRACT         /</t>
  </si>
  <si>
    <t>Weekly Expenses/Equipment Fee's</t>
  </si>
  <si>
    <t>Hourly Expenses/Equipment Fee's</t>
  </si>
  <si>
    <t>Daily Expenses/Equipment Fee's</t>
  </si>
  <si>
    <t>Monthly Expenses/Equipment Fee's</t>
  </si>
  <si>
    <t>Annual Expenses/Equipment Fee's</t>
  </si>
  <si>
    <t>Total Project Expenses/Equipment Fee's</t>
  </si>
  <si>
    <t>CONSULTANCY FEE'S + EQUIPMENT COST'S + EXPENSES</t>
  </si>
  <si>
    <t>EXPENSE</t>
  </si>
  <si>
    <t>International:  Engineering Consultancy Services</t>
  </si>
  <si>
    <t>International Project Fee's</t>
  </si>
  <si>
    <t>Jason James McCaffrey</t>
  </si>
  <si>
    <t>Working Days_In_Week 'Per Week'</t>
  </si>
  <si>
    <t>Daily Hours_In_Day</t>
  </si>
  <si>
    <t>EXPENSES</t>
  </si>
  <si>
    <t xml:space="preserve">EXPENSES </t>
  </si>
  <si>
    <t>EQUIPMENT FEE'S   /</t>
  </si>
  <si>
    <t>DURATIONS               DAILY EXPENSES</t>
  </si>
  <si>
    <t>Per Day</t>
  </si>
  <si>
    <t>Hotel Costs</t>
  </si>
  <si>
    <t>Meals</t>
  </si>
  <si>
    <t>General / Other</t>
  </si>
  <si>
    <t>ANNUAL CONTRACT. + EXP.</t>
  </si>
  <si>
    <t>CHECKS</t>
  </si>
  <si>
    <t>In order to use the full functionality of the software you must pay the licence fee: Please ensure you have the latest version.</t>
  </si>
  <si>
    <t>CONSULTANCY COMPANY REQUIREMENTS</t>
  </si>
  <si>
    <t>FEES CALCULATED FOR NEC4 PROFESSIONAL SERVICES CONTRACT TERMS AND CONDITIONS</t>
  </si>
  <si>
    <t>ANNUAL CONTRACTOR FEES</t>
  </si>
  <si>
    <t>ANNUAL CONTRACT. + EQUIP. FEES</t>
  </si>
  <si>
    <t>ANNUAL PROJECT FEES</t>
  </si>
  <si>
    <t>CURRENCY NAME▲▼  SYMBOL</t>
  </si>
  <si>
    <t>Access to all my Companies Work:  I have a record of ALL the Work that the I produced over the last 25+ Years. This comprises of work produced by other disciplines, engineers, technicians etc. who I managed throughout the design &amp; construction procurement processes: Drawings, Calculations, Programs, 3D Models, Model Management Procedures, CESMM, Contracts &amp; specifications. This is equivalent to approximately all the documentation to run four Construction Organisations. I also have a copy of all the Contracts, Specifications and Measurement work that my father company completed since the early 1980's. This information saves a significant amount of time and money.</t>
  </si>
  <si>
    <t>Version 2.0</t>
  </si>
  <si>
    <t>Annual charge for the use of professional construction information. 45 years of projects.</t>
  </si>
  <si>
    <t>CHECK</t>
  </si>
  <si>
    <t>Travel costs (Car &amp; Fuel)</t>
  </si>
  <si>
    <t>1 GBP</t>
  </si>
  <si>
    <t>in GBP</t>
  </si>
  <si>
    <t>U.K. Pound Sterling</t>
  </si>
  <si>
    <t>GBP/GBP</t>
  </si>
  <si>
    <t>Afghan afghani</t>
  </si>
  <si>
    <t>AFN</t>
  </si>
  <si>
    <t>GBP/AFN</t>
  </si>
  <si>
    <t>Albanian lek</t>
  </si>
  <si>
    <t>ALL</t>
  </si>
  <si>
    <t>GBP/ALL</t>
  </si>
  <si>
    <t>Angolan kwanza</t>
  </si>
  <si>
    <t>AOA</t>
  </si>
  <si>
    <t>GBP/AOA</t>
  </si>
  <si>
    <t>Aruban florin</t>
  </si>
  <si>
    <t>AWG</t>
  </si>
  <si>
    <t>GBP/AWG</t>
  </si>
  <si>
    <t>Bosnia and Herzegovina convertible mark</t>
  </si>
  <si>
    <t>BAM</t>
  </si>
  <si>
    <t>GBP/BAM</t>
  </si>
  <si>
    <t>Barbadian Dollar</t>
  </si>
  <si>
    <t>BBD</t>
  </si>
  <si>
    <t>GBP/BBD</t>
  </si>
  <si>
    <t>Burundian franc</t>
  </si>
  <si>
    <t>BIF</t>
  </si>
  <si>
    <t>GBP/BIF</t>
  </si>
  <si>
    <t>Brunei Dollar</t>
  </si>
  <si>
    <t>BND</t>
  </si>
  <si>
    <t>GBP/BND</t>
  </si>
  <si>
    <t>Bahamian Dollar</t>
  </si>
  <si>
    <t>BSD</t>
  </si>
  <si>
    <t>GBP/BSD</t>
  </si>
  <si>
    <t>Botswana Pula</t>
  </si>
  <si>
    <t>BWP</t>
  </si>
  <si>
    <t>GBP/BWP</t>
  </si>
  <si>
    <t>Belize dollar</t>
  </si>
  <si>
    <t>BZD</t>
  </si>
  <si>
    <t>GBP/BZD</t>
  </si>
  <si>
    <t>Congolese franc</t>
  </si>
  <si>
    <t>GBP/CDF</t>
  </si>
  <si>
    <t>Cuban peso</t>
  </si>
  <si>
    <t>CUP</t>
  </si>
  <si>
    <t>GBP/CUP</t>
  </si>
  <si>
    <t>Cape Verde escudo</t>
  </si>
  <si>
    <t>GBP/CVE</t>
  </si>
  <si>
    <t>Djiboutian franc</t>
  </si>
  <si>
    <t>GBP/DJF</t>
  </si>
  <si>
    <t>Eritrean nakfa</t>
  </si>
  <si>
    <t>GBP/ERN</t>
  </si>
  <si>
    <t>Ethiopian birr</t>
  </si>
  <si>
    <t>ETB</t>
  </si>
  <si>
    <t>GBP/ETB</t>
  </si>
  <si>
    <t>Fiji Dollar</t>
  </si>
  <si>
    <t>FJD</t>
  </si>
  <si>
    <t>GBP/FJD</t>
  </si>
  <si>
    <t>Ghanaian Cedi</t>
  </si>
  <si>
    <t>GHS</t>
  </si>
  <si>
    <t>GBP/GHS</t>
  </si>
  <si>
    <t>Gibraltar pound</t>
  </si>
  <si>
    <t>GIP</t>
  </si>
  <si>
    <t>GBP/GIP</t>
  </si>
  <si>
    <t>Gambian dalasi</t>
  </si>
  <si>
    <t>GMD</t>
  </si>
  <si>
    <t>GBP/GMD</t>
  </si>
  <si>
    <t>Guinean franc</t>
  </si>
  <si>
    <t>GNF</t>
  </si>
  <si>
    <t>GBP/GNF</t>
  </si>
  <si>
    <t>Guatemalan Quetzal</t>
  </si>
  <si>
    <t>GTQ</t>
  </si>
  <si>
    <t>GBP/GTQ</t>
  </si>
  <si>
    <t>Guyanese dollar</t>
  </si>
  <si>
    <t>GYD</t>
  </si>
  <si>
    <t>GBP/GYD</t>
  </si>
  <si>
    <t>Honduran Lempira</t>
  </si>
  <si>
    <t>HNL</t>
  </si>
  <si>
    <t>GBP/HNL</t>
  </si>
  <si>
    <t>Jamaican Dollar</t>
  </si>
  <si>
    <t>JMD</t>
  </si>
  <si>
    <t>GBP/JMD</t>
  </si>
  <si>
    <t>Kenyan shilling</t>
  </si>
  <si>
    <t>KES</t>
  </si>
  <si>
    <t>GBP/KES</t>
  </si>
  <si>
    <t>Cambodian riel</t>
  </si>
  <si>
    <t>KHR</t>
  </si>
  <si>
    <t>GBP/KHR</t>
  </si>
  <si>
    <t>Comoro franc</t>
  </si>
  <si>
    <t>GBP/KMF</t>
  </si>
  <si>
    <t>Liberian dollar</t>
  </si>
  <si>
    <t>LRD</t>
  </si>
  <si>
    <t>GBP/LRD</t>
  </si>
  <si>
    <t>Lesotho loti</t>
  </si>
  <si>
    <t>GBP/LSL</t>
  </si>
  <si>
    <t>Malagasy ariary</t>
  </si>
  <si>
    <t>MGA</t>
  </si>
  <si>
    <t>GBP/MGA</t>
  </si>
  <si>
    <t>Macedonian denar</t>
  </si>
  <si>
    <t>MKD</t>
  </si>
  <si>
    <t>GBP/MKD</t>
  </si>
  <si>
    <t>Myanma Kyat</t>
  </si>
  <si>
    <t>GBP/MMK</t>
  </si>
  <si>
    <t>Mongolian togrog</t>
  </si>
  <si>
    <t>MNT</t>
  </si>
  <si>
    <t>GBP/MNT</t>
  </si>
  <si>
    <t>Macanese pataca</t>
  </si>
  <si>
    <t>MOP</t>
  </si>
  <si>
    <t>GBP/MOP</t>
  </si>
  <si>
    <t>Mauritanian ouguiya</t>
  </si>
  <si>
    <t>GBP/MRU</t>
  </si>
  <si>
    <t>Mauritian Rupee</t>
  </si>
  <si>
    <t>MUR</t>
  </si>
  <si>
    <t>GBP/MUR</t>
  </si>
  <si>
    <t>Maldivian rufiyaa</t>
  </si>
  <si>
    <t>MVR</t>
  </si>
  <si>
    <t>GBP/MVR</t>
  </si>
  <si>
    <t>Malawian kwacha</t>
  </si>
  <si>
    <t>MWK</t>
  </si>
  <si>
    <t>GBP/MWK</t>
  </si>
  <si>
    <t>Mozambican metical</t>
  </si>
  <si>
    <t>MZN</t>
  </si>
  <si>
    <t>GBP/MZN</t>
  </si>
  <si>
    <t>Namibian dollar</t>
  </si>
  <si>
    <t>NAD</t>
  </si>
  <si>
    <t>GBP/NAD</t>
  </si>
  <si>
    <t>Nicaraguan Córdoba</t>
  </si>
  <si>
    <t>NIO</t>
  </si>
  <si>
    <t>GBP/NIO</t>
  </si>
  <si>
    <t>Papua New Guinean kina</t>
  </si>
  <si>
    <t>PGK</t>
  </si>
  <si>
    <t>GBP/PGK</t>
  </si>
  <si>
    <t>Rwandan franc</t>
  </si>
  <si>
    <t>GBP/RWF</t>
  </si>
  <si>
    <t>Solomon Islands dollar</t>
  </si>
  <si>
    <t>SBD</t>
  </si>
  <si>
    <t>GBP/SBD</t>
  </si>
  <si>
    <t>Seychelles rupee</t>
  </si>
  <si>
    <t>SCR</t>
  </si>
  <si>
    <t>GBP/SCR</t>
  </si>
  <si>
    <t>Sudanese pound</t>
  </si>
  <si>
    <t>SDG</t>
  </si>
  <si>
    <t>GBP/SDG</t>
  </si>
  <si>
    <t>Somali shilling</t>
  </si>
  <si>
    <t>SOS</t>
  </si>
  <si>
    <t>GBP/SOS</t>
  </si>
  <si>
    <t>Surinamese dollar</t>
  </si>
  <si>
    <t>SRD</t>
  </si>
  <si>
    <t>GBP/SRD</t>
  </si>
  <si>
    <t>South Sudanese pound</t>
  </si>
  <si>
    <t>GBP/SSP</t>
  </si>
  <si>
    <t>São Tomé and Príncipe Dobra</t>
  </si>
  <si>
    <t>GBP/STN</t>
  </si>
  <si>
    <t>Salvadoran colon</t>
  </si>
  <si>
    <t>SVC</t>
  </si>
  <si>
    <t>GBP/SVC</t>
  </si>
  <si>
    <t>Swazi lilangeni</t>
  </si>
  <si>
    <t>GBP/SZL</t>
  </si>
  <si>
    <t>Tongan paʻanga</t>
  </si>
  <si>
    <t>TOP</t>
  </si>
  <si>
    <t>GBP/TOP</t>
  </si>
  <si>
    <t>Trinidad Tobago Dollar</t>
  </si>
  <si>
    <t>TTD</t>
  </si>
  <si>
    <t>GBP/TTD</t>
  </si>
  <si>
    <t>Tanzanian shilling</t>
  </si>
  <si>
    <t>TZS</t>
  </si>
  <si>
    <t>GBP/TZS</t>
  </si>
  <si>
    <t>Ugandan shilling</t>
  </si>
  <si>
    <t>GBP/UGX</t>
  </si>
  <si>
    <t>Vanuatu vatu</t>
  </si>
  <si>
    <t>GBP/VUV</t>
  </si>
  <si>
    <t>Samoan tala</t>
  </si>
  <si>
    <t>GBP/WST</t>
  </si>
  <si>
    <t>East Caribbean Dollar</t>
  </si>
  <si>
    <t>XCD</t>
  </si>
  <si>
    <t>GBP/XCD</t>
  </si>
  <si>
    <t>Caribbean guilder</t>
  </si>
  <si>
    <t>XCG</t>
  </si>
  <si>
    <t>GBP/XCG</t>
  </si>
  <si>
    <t>CFP Franc</t>
  </si>
  <si>
    <t>XPF</t>
  </si>
  <si>
    <t>GBP/XPF</t>
  </si>
  <si>
    <t>Yemeni rial</t>
  </si>
  <si>
    <t>YER</t>
  </si>
  <si>
    <t>GBP/YER</t>
  </si>
  <si>
    <t>Zambian kwacha</t>
  </si>
  <si>
    <t>ZMW</t>
  </si>
  <si>
    <t>GBP/ZMW</t>
  </si>
  <si>
    <t>Code + C.S.</t>
  </si>
  <si>
    <t>¤ UNREGISTERED COPY ¤</t>
  </si>
  <si>
    <t>This spreadsheet is NOT a public domain program.  It is copyrighted by the Author*. This software is protected by United Kingdom copyright law and also by international treaty provisions. The Author grants you a licence to use this software for evaluation purposes for an indefinite period. You may not use, copy, rent, lease, sell, modify, decompile, unprotect, disassemble, otherwise reverse engineer, or transfer this software except as provided in this agreement. Any such unauthorised use shall result in immediate and automatic termination of this licence. All rights not expressly granted here are reserved to the Author. You may copy and distribute the unregistered version of this spreadsheet, completely unaltered, without further permission.</t>
  </si>
  <si>
    <t>Version 9.0</t>
  </si>
  <si>
    <t>Iranian rial</t>
  </si>
  <si>
    <t>IRR</t>
  </si>
  <si>
    <t>GBP/IRR</t>
  </si>
  <si>
    <t>Lao kip</t>
  </si>
  <si>
    <t>LAK</t>
  </si>
  <si>
    <t>GBP/LAK</t>
  </si>
  <si>
    <t>Syrian pound</t>
  </si>
  <si>
    <t>SYP</t>
  </si>
  <si>
    <t>GBP/SYP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</si>
</sst>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5">
    <numFmt numFmtId="5" formatCode="&quot;£&quot;#,##0;\-&quot;£&quot;#,##0"/>
    <numFmt numFmtId="6" formatCode="&quot;£&quot;#,##0;[Red]\-&quot;£&quot;#,##0"/>
    <numFmt numFmtId="7" formatCode="&quot;£&quot;#,##0.00;\-&quot;£&quot;#,##0.00"/>
    <numFmt numFmtId="8" formatCode="&quot;£&quot;#,##0.00;[Red]\-&quot;£&quot;#,##0.00"/>
    <numFmt numFmtId="44" formatCode="_-&quot;£&quot;* #,##0.00_-;\-&quot;£&quot;* #,##0.00_-;_-&quot;£&quot;* &quot;-&quot;??_-;_-@_-"/>
    <numFmt numFmtId="164" formatCode="0.00_ ;[Red]\-0.00\ "/>
    <numFmt numFmtId="165" formatCode="mmmm\ d\,\ yyyy"/>
    <numFmt numFmtId="166" formatCode="&quot;£&quot;#,##0.00"/>
    <numFmt numFmtId="167" formatCode="_(* #,##0.00_);_(* \(#,##0.00\);_(* &quot;-&quot;??_);_(@_)"/>
    <numFmt numFmtId="168" formatCode="#,##0.00\ &quot;Hours&quot;"/>
    <numFmt numFmtId="169" formatCode="0.00\ &quot;Hours Per Day&quot;"/>
    <numFmt numFmtId="170" formatCode="#,##0.00\ &quot;Days&quot;"/>
    <numFmt numFmtId="171" formatCode="#,##0.00\ &quot;Weeks&quot;"/>
    <numFmt numFmtId="172" formatCode="0.0\ &quot;Days Per Week&quot;"/>
    <numFmt numFmtId="173" formatCode="#,##0.00\ &quot;Months&quot;"/>
    <numFmt numFmtId="174" formatCode="0.0\ &quot;Weeks Per Year&quot;"/>
    <numFmt numFmtId="175" formatCode="_*\ #,##0.00_-;\-* #,##0.00_-;_*\ &quot;&quot;??_-;_-@_-"/>
    <numFmt numFmtId="176" formatCode="_(&quot;£&quot;* #,##0.00_);_(&quot;£&quot;* \(#,##0.00\);_(&quot;£&quot;* &quot;-&quot;??_);_(@_)"/>
    <numFmt numFmtId="177" formatCode="0.0\ &quot;Months Per Year&quot;"/>
    <numFmt numFmtId="178" formatCode="0.0\ &quot;Years - Contract Duration&quot;"/>
    <numFmt numFmtId="179" formatCode="&quot;Computer - Hardware Desktop-in-Laptop (Costs Over &quot;\ 0.0\ &quot; Years)&quot;"/>
    <numFmt numFmtId="180" formatCode="&quot;Civil, Structural &amp; Arch. Design, Analysis &amp; 7D BIM (Costs Over &quot;0.0\ &quot; Years)&quot;"/>
    <numFmt numFmtId="181" formatCode="&quot;Hardware &amp; Software - Maintenance (Costs Over &quot;0.0&quot; Years)&quot;"/>
    <numFmt numFmtId="182" formatCode="&quot;Autodesk AEC BIM Maintenance (Over&quot;\ 0.0&quot; Years)&quot;"/>
    <numFmt numFmtId="183" formatCode="&quot;Contract &amp; Design Management Software Packages (Over &quot;0.0&quot; Years)&quot;"/>
    <numFmt numFmtId="184" formatCode="&quot;Hardware Server (Costs Over &quot;0.0&quot; Years)&quot;"/>
    <numFmt numFmtId="185" formatCode="&quot;Server - Hardware &amp; Software Maintainance (Over &quot;0.0&quot; Years)&quot;"/>
    <numFmt numFmtId="186" formatCode="#,##0.00_ ;[Red]\-#,##0.00\ "/>
    <numFmt numFmtId="187" formatCode="&quot;$&quot;#,##0_);\(&quot;$&quot;#,##0\)"/>
    <numFmt numFmtId="188" formatCode="0.00\ &quot;Hours Per Week&quot;"/>
    <numFmt numFmtId="189" formatCode="#,##0.00\ &quot;Years&quot;"/>
    <numFmt numFmtId="190" formatCode="&quot;£&quot;#,##0"/>
    <numFmt numFmtId="191" formatCode="&quot;Microsoft Windows, Office Professional &amp; Maintainance (Costs Over &quot;0.0\ &quot; Years)&quot;"/>
    <numFmt numFmtId="192" formatCode="&quot;Apple IPhone, Maintainance &amp; Phone Charges (Over &quot;0.0&quot; Years)&quot;"/>
    <numFmt numFmtId="193" formatCode="#,##0.000000"/>
  </numFmts>
  <fonts count="75">
    <font>
      <sz val="11"/>
      <color theme="1"/>
      <name val="Calibri"/>
      <family val="2"/>
      <scheme val="minor"/>
    </font>
    <font>
      <sz val="11"/>
      <color theme="1"/>
      <name val="Calibri"/>
      <family val="2"/>
      <scheme val="minor"/>
    </font>
    <font>
      <sz val="11"/>
      <color rgb="FF3F3F76"/>
      <name val="Calibri"/>
      <family val="2"/>
      <scheme val="minor"/>
    </font>
    <font>
      <b/>
      <sz val="11"/>
      <color rgb="FFFA7D00"/>
      <name val="Calibri"/>
      <family val="2"/>
      <scheme val="minor"/>
    </font>
    <font>
      <b/>
      <sz val="11"/>
      <color theme="1"/>
      <name val="Calibri"/>
      <family val="2"/>
      <scheme val="minor"/>
    </font>
    <font>
      <u/>
      <sz val="11"/>
      <color theme="10"/>
      <name val="Calibri"/>
      <family val="2"/>
      <scheme val="minor"/>
    </font>
    <font>
      <sz val="10"/>
      <name val="Arial"/>
      <family val="2"/>
    </font>
    <font>
      <i/>
      <sz val="10"/>
      <name val="Calibri"/>
      <family val="2"/>
      <scheme val="minor"/>
    </font>
    <font>
      <b/>
      <sz val="10"/>
      <color rgb="FF0000FF"/>
      <name val="Calibri"/>
      <family val="2"/>
      <scheme val="minor"/>
    </font>
    <font>
      <b/>
      <sz val="12"/>
      <color rgb="FF0000FF"/>
      <name val="Calibri"/>
      <family val="2"/>
      <scheme val="minor"/>
    </font>
    <font>
      <i/>
      <sz val="10"/>
      <color theme="0"/>
      <name val="Calibri"/>
      <family val="2"/>
      <scheme val="minor"/>
    </font>
    <font>
      <b/>
      <u/>
      <sz val="11"/>
      <color theme="10"/>
      <name val="Calibri"/>
      <family val="2"/>
      <scheme val="minor"/>
    </font>
    <font>
      <i/>
      <sz val="9"/>
      <name val="Calibri"/>
      <family val="2"/>
      <scheme val="minor"/>
    </font>
    <font>
      <b/>
      <sz val="10"/>
      <color indexed="12"/>
      <name val="Calibri"/>
      <family val="2"/>
      <scheme val="minor"/>
    </font>
    <font>
      <b/>
      <u/>
      <sz val="10"/>
      <color rgb="FF0000FF"/>
      <name val="Calibri"/>
      <family val="2"/>
      <scheme val="minor"/>
    </font>
    <font>
      <sz val="10"/>
      <color indexed="12"/>
      <name val="Calibri"/>
      <family val="2"/>
      <scheme val="minor"/>
    </font>
    <font>
      <sz val="28"/>
      <color indexed="18"/>
      <name val="Calibri"/>
      <family val="2"/>
      <scheme val="minor"/>
    </font>
    <font>
      <i/>
      <sz val="10"/>
      <color rgb="FF002060"/>
      <name val="Calibri"/>
      <family val="2"/>
      <scheme val="minor"/>
    </font>
    <font>
      <sz val="11"/>
      <color rgb="FF002060"/>
      <name val="Calibri"/>
      <family val="2"/>
      <scheme val="minor"/>
    </font>
    <font>
      <sz val="28"/>
      <color indexed="12"/>
      <name val="Calibri"/>
      <family val="2"/>
      <scheme val="minor"/>
    </font>
    <font>
      <sz val="10"/>
      <name val="Calibri"/>
      <family val="2"/>
      <scheme val="minor"/>
    </font>
    <font>
      <u/>
      <sz val="10"/>
      <color indexed="12"/>
      <name val="Arial"/>
      <family val="2"/>
    </font>
    <font>
      <sz val="10.5"/>
      <name val="Calibri"/>
      <family val="2"/>
      <scheme val="minor"/>
    </font>
    <font>
      <b/>
      <sz val="11"/>
      <color rgb="FF002060"/>
      <name val="Calibri"/>
      <family val="2"/>
      <scheme val="minor"/>
    </font>
    <font>
      <b/>
      <sz val="10.5"/>
      <color theme="0"/>
      <name val="Calibri"/>
      <family val="2"/>
      <scheme val="minor"/>
    </font>
    <font>
      <b/>
      <sz val="10.5"/>
      <color rgb="FF002060"/>
      <name val="Calibri"/>
      <family val="2"/>
      <scheme val="minor"/>
    </font>
    <font>
      <sz val="10.5"/>
      <color rgb="FF002060"/>
      <name val="Calibri"/>
      <family val="2"/>
      <scheme val="minor"/>
    </font>
    <font>
      <b/>
      <sz val="10.5"/>
      <color indexed="18"/>
      <name val="Calibri"/>
      <family val="2"/>
      <scheme val="minor"/>
    </font>
    <font>
      <sz val="10"/>
      <color rgb="FF002060"/>
      <name val="Calibri"/>
      <family val="2"/>
      <scheme val="minor"/>
    </font>
    <font>
      <b/>
      <sz val="11"/>
      <color rgb="FF3F3F76"/>
      <name val="Calibri"/>
      <family val="2"/>
      <scheme val="minor"/>
    </font>
    <font>
      <b/>
      <sz val="10"/>
      <name val="Calibri"/>
      <family val="2"/>
      <scheme val="minor"/>
    </font>
    <font>
      <b/>
      <sz val="12"/>
      <color rgb="FF002060"/>
      <name val="Calibri"/>
      <family val="2"/>
      <scheme val="minor"/>
    </font>
    <font>
      <sz val="12"/>
      <name val="Tekton"/>
      <family val="2"/>
    </font>
    <font>
      <b/>
      <sz val="16"/>
      <color rgb="FF002060"/>
      <name val="Calibri"/>
      <family val="2"/>
      <scheme val="minor"/>
    </font>
    <font>
      <sz val="10.5"/>
      <color theme="1"/>
      <name val="Calibri"/>
      <family val="2"/>
      <scheme val="minor"/>
    </font>
    <font>
      <sz val="10.5"/>
      <color indexed="56"/>
      <name val="Calibri"/>
      <family val="2"/>
    </font>
    <font>
      <u/>
      <sz val="10.5"/>
      <color indexed="30"/>
      <name val="Calibri"/>
      <family val="2"/>
    </font>
    <font>
      <b/>
      <u/>
      <sz val="10.5"/>
      <color indexed="30"/>
      <name val="Calibri"/>
      <family val="2"/>
    </font>
    <font>
      <u/>
      <sz val="10.5"/>
      <color theme="10"/>
      <name val="Calibri"/>
      <family val="2"/>
      <scheme val="minor"/>
    </font>
    <font>
      <sz val="10.5"/>
      <color indexed="30"/>
      <name val="Calibri"/>
      <family val="2"/>
    </font>
    <font>
      <b/>
      <u/>
      <sz val="10.5"/>
      <color theme="10"/>
      <name val="Calibri"/>
      <family val="2"/>
      <scheme val="minor"/>
    </font>
    <font>
      <b/>
      <sz val="10"/>
      <color rgb="FF002060"/>
      <name val="Arial"/>
      <family val="2"/>
    </font>
    <font>
      <sz val="12"/>
      <color rgb="FF002060"/>
      <name val="Arial"/>
      <family val="2"/>
    </font>
    <font>
      <sz val="10"/>
      <color rgb="FF002060"/>
      <name val="Arial"/>
      <family val="2"/>
    </font>
    <font>
      <sz val="12"/>
      <color rgb="FF002060"/>
      <name val="Tekton"/>
      <family val="2"/>
    </font>
    <font>
      <b/>
      <sz val="14"/>
      <color indexed="10"/>
      <name val="Calibri"/>
      <family val="2"/>
      <scheme val="minor"/>
    </font>
    <font>
      <b/>
      <sz val="10"/>
      <color indexed="10"/>
      <name val="Calibri"/>
      <family val="2"/>
      <scheme val="minor"/>
    </font>
    <font>
      <sz val="12"/>
      <name val="Calibri"/>
      <family val="2"/>
      <scheme val="minor"/>
    </font>
    <font>
      <b/>
      <sz val="10.5"/>
      <name val="Calibri"/>
      <family val="2"/>
      <scheme val="minor"/>
    </font>
    <font>
      <sz val="10"/>
      <color theme="1"/>
      <name val="Calibri"/>
      <family val="2"/>
      <scheme val="minor"/>
    </font>
    <font>
      <b/>
      <sz val="14"/>
      <color rgb="FF002060"/>
      <name val="Calibri"/>
      <family val="2"/>
      <scheme val="minor"/>
    </font>
    <font>
      <sz val="14"/>
      <color theme="1"/>
      <name val="Calibri"/>
      <family val="2"/>
      <scheme val="minor"/>
    </font>
    <font>
      <b/>
      <sz val="14"/>
      <color theme="0"/>
      <name val="Calibri"/>
      <family val="2"/>
      <scheme val="minor"/>
    </font>
    <font>
      <b/>
      <sz val="12"/>
      <name val="Calibri"/>
      <family val="2"/>
      <scheme val="minor"/>
    </font>
    <font>
      <b/>
      <sz val="11"/>
      <color rgb="FF0000FF"/>
      <name val="Microgramma D Extended"/>
      <family val="3"/>
    </font>
    <font>
      <b/>
      <sz val="11"/>
      <color indexed="12"/>
      <name val="Microgramma D Extended"/>
      <family val="3"/>
    </font>
    <font>
      <b/>
      <sz val="18"/>
      <color rgb="FF002060"/>
      <name val="Calibri"/>
      <family val="2"/>
      <scheme val="minor"/>
    </font>
    <font>
      <b/>
      <sz val="16"/>
      <color rgb="FF0000FF"/>
      <name val="Calibri"/>
      <family val="2"/>
      <scheme val="minor"/>
    </font>
    <font>
      <sz val="16"/>
      <color theme="1"/>
      <name val="Calibri"/>
      <family val="2"/>
      <scheme val="minor"/>
    </font>
    <font>
      <sz val="16"/>
      <color rgb="FF0000FF"/>
      <name val="Calibri"/>
      <family val="2"/>
      <scheme val="minor"/>
    </font>
    <font>
      <sz val="12"/>
      <color rgb="FF002060"/>
      <name val="Calibri"/>
      <family val="2"/>
      <scheme val="minor"/>
    </font>
    <font>
      <b/>
      <sz val="11"/>
      <name val="Calibri"/>
      <family val="2"/>
      <scheme val="minor"/>
    </font>
    <font>
      <sz val="11"/>
      <name val="Calibri"/>
      <family val="2"/>
      <scheme val="minor"/>
    </font>
    <font>
      <sz val="11"/>
      <color rgb="FF9C5700"/>
      <name val="Calibri"/>
      <family val="2"/>
      <scheme val="minor"/>
    </font>
    <font>
      <sz val="14"/>
      <name val="Calibri"/>
      <family val="2"/>
      <scheme val="minor"/>
    </font>
    <font>
      <b/>
      <sz val="14"/>
      <name val="Calibri"/>
      <family val="2"/>
      <scheme val="minor"/>
    </font>
    <font>
      <b/>
      <sz val="14"/>
      <color rgb="FFC00000"/>
      <name val="Calibri"/>
      <family val="2"/>
      <scheme val="minor"/>
    </font>
    <font>
      <b/>
      <sz val="18"/>
      <color indexed="56"/>
      <name val="Calibri"/>
      <family val="2"/>
    </font>
    <font>
      <b/>
      <sz val="18"/>
      <color theme="1"/>
      <name val="Calibri"/>
      <family val="2"/>
      <scheme val="minor"/>
    </font>
    <font>
      <b/>
      <sz val="12"/>
      <color theme="0"/>
      <name val="Calibri"/>
      <family val="2"/>
      <scheme val="minor"/>
    </font>
    <font>
      <sz val="12"/>
      <color theme="1"/>
      <name val="Calibri"/>
      <family val="2"/>
      <scheme val="minor"/>
    </font>
    <font>
      <b/>
      <sz val="12"/>
      <color theme="1"/>
      <name val="Calibri"/>
      <family val="2"/>
      <scheme val="minor"/>
    </font>
    <font>
      <sz val="12"/>
      <color theme="0"/>
      <name val="Calibri"/>
      <family val="2"/>
      <scheme val="minor"/>
    </font>
    <font>
      <b/>
      <sz val="10"/>
      <color rgb="FF002060"/>
      <name val="Calibri"/>
      <family val="2"/>
      <scheme val="minor"/>
    </font>
    <font>
      <b/>
      <sz val="10"/>
      <color theme="1"/>
      <name val="Calibri"/>
      <family val="2"/>
      <scheme val="minor"/>
    </font>
  </fonts>
  <fills count="20">
    <fill>
      <patternFill patternType="none"/>
    </fill>
    <fill>
      <patternFill patternType="gray125"/>
    </fill>
    <fill>
      <patternFill patternType="solid">
        <fgColor rgb="FFFFCC99"/>
      </patternFill>
    </fill>
    <fill>
      <patternFill patternType="solid">
        <fgColor rgb="FFF2F2F2"/>
      </patternFill>
    </fill>
    <fill>
      <patternFill patternType="solid">
        <fgColor rgb="FFCCFFCC"/>
        <bgColor indexed="64"/>
      </patternFill>
    </fill>
    <fill>
      <patternFill patternType="solid">
        <fgColor indexed="42"/>
        <bgColor indexed="64"/>
      </patternFill>
    </fill>
    <fill>
      <patternFill patternType="solid">
        <fgColor theme="0" tint="-0.14999847407452621"/>
        <bgColor indexed="64"/>
      </patternFill>
    </fill>
    <fill>
      <patternFill patternType="solid">
        <fgColor rgb="FF002060"/>
        <bgColor indexed="64"/>
      </patternFill>
    </fill>
    <fill>
      <patternFill patternType="solid">
        <fgColor indexed="9"/>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249977111117893"/>
        <bgColor indexed="64"/>
      </patternFill>
    </fill>
    <fill>
      <patternFill patternType="solid">
        <fgColor rgb="FFC00000"/>
        <bgColor indexed="64"/>
      </patternFill>
    </fill>
    <fill>
      <patternFill patternType="solid">
        <fgColor rgb="FFFF0000"/>
        <bgColor indexed="64"/>
      </patternFill>
    </fill>
    <fill>
      <patternFill patternType="solid">
        <fgColor rgb="FFFFEB9C"/>
      </patternFill>
    </fill>
    <fill>
      <patternFill patternType="solid">
        <fgColor rgb="FFFFFFCC"/>
      </patternFill>
    </fill>
    <fill>
      <patternFill patternType="solid">
        <fgColor theme="2" tint="-9.9978637043366805E-2"/>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rgb="FF0070C0"/>
        <bgColor indexed="64"/>
      </patternFill>
    </fill>
  </fills>
  <borders count="176">
    <border>
      <left/>
      <right/>
      <top/>
      <bottom/>
      <diagonal/>
    </border>
    <border>
      <left style="thin">
        <color rgb="FF7F7F7F"/>
      </left>
      <right style="thin">
        <color rgb="FF7F7F7F"/>
      </right>
      <top style="thin">
        <color rgb="FF7F7F7F"/>
      </top>
      <bottom style="thin">
        <color rgb="FF7F7F7F"/>
      </bottom>
      <diagonal/>
    </border>
    <border>
      <left style="double">
        <color indexed="64"/>
      </left>
      <right style="thin">
        <color indexed="64"/>
      </right>
      <top style="double">
        <color indexed="64"/>
      </top>
      <bottom style="medium">
        <color theme="0" tint="-0.14996795556505021"/>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double">
        <color theme="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rgb="FF002060"/>
      </left>
      <right/>
      <top style="double">
        <color rgb="FF002060"/>
      </top>
      <bottom/>
      <diagonal/>
    </border>
    <border>
      <left/>
      <right/>
      <top style="double">
        <color rgb="FF002060"/>
      </top>
      <bottom/>
      <diagonal/>
    </border>
    <border>
      <left/>
      <right style="double">
        <color rgb="FF002060"/>
      </right>
      <top style="double">
        <color rgb="FF002060"/>
      </top>
      <bottom/>
      <diagonal/>
    </border>
    <border>
      <left style="double">
        <color rgb="FF002060"/>
      </left>
      <right style="thin">
        <color indexed="64"/>
      </right>
      <top style="medium">
        <color indexed="64"/>
      </top>
      <bottom style="thin">
        <color indexed="64"/>
      </bottom>
      <diagonal/>
    </border>
    <border>
      <left style="thin">
        <color auto="1"/>
      </left>
      <right style="thin">
        <color auto="1"/>
      </right>
      <top style="medium">
        <color auto="1"/>
      </top>
      <bottom style="thin">
        <color auto="1"/>
      </bottom>
      <diagonal/>
    </border>
    <border>
      <left style="thin">
        <color indexed="64"/>
      </left>
      <right style="double">
        <color rgb="FF002060"/>
      </right>
      <top style="medium">
        <color indexed="64"/>
      </top>
      <bottom style="thin">
        <color indexed="64"/>
      </bottom>
      <diagonal/>
    </border>
    <border>
      <left style="double">
        <color rgb="FF002060"/>
      </left>
      <right style="thin">
        <color indexed="64"/>
      </right>
      <top style="thin">
        <color indexed="64"/>
      </top>
      <bottom style="thin">
        <color indexed="64"/>
      </bottom>
      <diagonal/>
    </border>
    <border>
      <left style="thin">
        <color indexed="64"/>
      </left>
      <right style="double">
        <color rgb="FF002060"/>
      </right>
      <top style="thin">
        <color indexed="64"/>
      </top>
      <bottom style="thin">
        <color indexed="64"/>
      </bottom>
      <diagonal/>
    </border>
    <border>
      <left style="double">
        <color rgb="FF002060"/>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rgb="FF002060"/>
      </right>
      <top style="thin">
        <color indexed="64"/>
      </top>
      <bottom style="medium">
        <color indexed="64"/>
      </bottom>
      <diagonal/>
    </border>
    <border>
      <left style="double">
        <color rgb="FF002060"/>
      </left>
      <right style="thin">
        <color indexed="64"/>
      </right>
      <top/>
      <bottom style="dashed">
        <color indexed="64"/>
      </bottom>
      <diagonal/>
    </border>
    <border>
      <left style="thin">
        <color auto="1"/>
      </left>
      <right style="thin">
        <color auto="1"/>
      </right>
      <top/>
      <bottom style="dashed">
        <color auto="1"/>
      </bottom>
      <diagonal/>
    </border>
    <border>
      <left style="thin">
        <color indexed="64"/>
      </left>
      <right style="double">
        <color rgb="FF002060"/>
      </right>
      <top/>
      <bottom style="dashed">
        <color indexed="64"/>
      </bottom>
      <diagonal/>
    </border>
    <border>
      <left/>
      <right style="medium">
        <color rgb="FF002060"/>
      </right>
      <top/>
      <bottom/>
      <diagonal/>
    </border>
    <border>
      <left style="medium">
        <color rgb="FF002060"/>
      </left>
      <right/>
      <top style="medium">
        <color rgb="FF002060"/>
      </top>
      <bottom/>
      <diagonal/>
    </border>
    <border>
      <left/>
      <right/>
      <top style="medium">
        <color rgb="FF002060"/>
      </top>
      <bottom style="medium">
        <color rgb="FF002060"/>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top style="medium">
        <color rgb="FF002060"/>
      </top>
      <bottom style="medium">
        <color theme="0"/>
      </bottom>
      <diagonal/>
    </border>
    <border>
      <left style="medium">
        <color theme="0"/>
      </left>
      <right/>
      <top style="medium">
        <color rgb="FF002060"/>
      </top>
      <bottom/>
      <diagonal/>
    </border>
    <border>
      <left/>
      <right style="medium">
        <color theme="0"/>
      </right>
      <top style="medium">
        <color rgb="FF002060"/>
      </top>
      <bottom/>
      <diagonal/>
    </border>
    <border>
      <left/>
      <right style="medium">
        <color rgb="FF002060"/>
      </right>
      <top style="medium">
        <color rgb="FF002060"/>
      </top>
      <bottom style="medium">
        <color theme="0"/>
      </bottom>
      <diagonal/>
    </border>
    <border>
      <left style="medium">
        <color rgb="FF002060"/>
      </left>
      <right style="medium">
        <color theme="0"/>
      </right>
      <top style="medium">
        <color theme="0"/>
      </top>
      <bottom style="medium">
        <color theme="0"/>
      </bottom>
      <diagonal/>
    </border>
    <border>
      <left/>
      <right/>
      <top style="medium">
        <color theme="0"/>
      </top>
      <bottom style="medium">
        <color theme="0"/>
      </bottom>
      <diagonal/>
    </border>
    <border>
      <left style="medium">
        <color theme="0"/>
      </left>
      <right/>
      <top/>
      <bottom/>
      <diagonal/>
    </border>
    <border>
      <left/>
      <right style="medium">
        <color theme="0"/>
      </right>
      <top/>
      <bottom/>
      <diagonal/>
    </border>
    <border>
      <left/>
      <right style="medium">
        <color rgb="FF002060"/>
      </right>
      <top style="medium">
        <color theme="0"/>
      </top>
      <bottom style="medium">
        <color theme="0"/>
      </bottom>
      <diagonal/>
    </border>
    <border>
      <left style="medium">
        <color rgb="FF002060"/>
      </left>
      <right style="medium">
        <color theme="0"/>
      </right>
      <top style="medium">
        <color theme="0"/>
      </top>
      <bottom style="medium">
        <color rgb="FF002060"/>
      </bottom>
      <diagonal/>
    </border>
    <border>
      <left style="medium">
        <color theme="0"/>
      </left>
      <right style="medium">
        <color theme="0"/>
      </right>
      <top style="medium">
        <color theme="0"/>
      </top>
      <bottom style="medium">
        <color rgb="FF002060"/>
      </bottom>
      <diagonal/>
    </border>
    <border>
      <left style="medium">
        <color theme="0"/>
      </left>
      <right/>
      <top style="medium">
        <color theme="0"/>
      </top>
      <bottom style="medium">
        <color rgb="FF002060"/>
      </bottom>
      <diagonal/>
    </border>
    <border>
      <left style="medium">
        <color theme="0"/>
      </left>
      <right/>
      <top/>
      <bottom style="medium">
        <color rgb="FF002060"/>
      </bottom>
      <diagonal/>
    </border>
    <border>
      <left/>
      <right/>
      <top/>
      <bottom style="medium">
        <color rgb="FF002060"/>
      </bottom>
      <diagonal/>
    </border>
    <border>
      <left/>
      <right style="medium">
        <color theme="0"/>
      </right>
      <top/>
      <bottom style="medium">
        <color rgb="FF002060"/>
      </bottom>
      <diagonal/>
    </border>
    <border>
      <left/>
      <right style="medium">
        <color theme="0"/>
      </right>
      <top style="medium">
        <color theme="0"/>
      </top>
      <bottom/>
      <diagonal/>
    </border>
    <border>
      <left style="medium">
        <color theme="0"/>
      </left>
      <right style="medium">
        <color rgb="FF002060"/>
      </right>
      <top style="medium">
        <color theme="0"/>
      </top>
      <bottom style="medium">
        <color rgb="FF002060"/>
      </bottom>
      <diagonal/>
    </border>
    <border>
      <left style="medium">
        <color rgb="FF002060"/>
      </left>
      <right style="medium">
        <color theme="0" tint="-4.9989318521683403E-2"/>
      </right>
      <top style="medium">
        <color rgb="FF002060"/>
      </top>
      <bottom style="medium">
        <color theme="0" tint="-4.9989318521683403E-2"/>
      </bottom>
      <diagonal/>
    </border>
    <border>
      <left style="medium">
        <color theme="0" tint="-4.9989318521683403E-2"/>
      </left>
      <right style="medium">
        <color theme="0" tint="-4.9989318521683403E-2"/>
      </right>
      <top style="medium">
        <color rgb="FF002060"/>
      </top>
      <bottom style="medium">
        <color theme="0" tint="-4.9989318521683403E-2"/>
      </bottom>
      <diagonal/>
    </border>
    <border>
      <left style="medium">
        <color theme="0" tint="-4.9989318521683403E-2"/>
      </left>
      <right style="medium">
        <color rgb="FF002060"/>
      </right>
      <top style="medium">
        <color rgb="FF002060"/>
      </top>
      <bottom style="medium">
        <color theme="0" tint="-4.9989318521683403E-2"/>
      </bottom>
      <diagonal/>
    </border>
    <border>
      <left style="medium">
        <color rgb="FF002060"/>
      </left>
      <right style="medium">
        <color theme="0" tint="-4.9989318521683403E-2"/>
      </right>
      <top style="medium">
        <color theme="0" tint="-4.9989318521683403E-2"/>
      </top>
      <bottom/>
      <diagonal/>
    </border>
    <border>
      <left style="medium">
        <color theme="0" tint="-4.9989318521683403E-2"/>
      </left>
      <right style="medium">
        <color theme="0" tint="-4.9989318521683403E-2"/>
      </right>
      <top style="medium">
        <color theme="0" tint="-4.9989318521683403E-2"/>
      </top>
      <bottom/>
      <diagonal/>
    </border>
    <border>
      <left style="medium">
        <color theme="0" tint="-4.9989318521683403E-2"/>
      </left>
      <right style="medium">
        <color rgb="FF002060"/>
      </right>
      <top style="medium">
        <color theme="0" tint="-4.9989318521683403E-2"/>
      </top>
      <bottom/>
      <diagonal/>
    </border>
    <border>
      <left style="medium">
        <color rgb="FF002060"/>
      </left>
      <right/>
      <top/>
      <bottom style="medium">
        <color theme="0"/>
      </bottom>
      <diagonal/>
    </border>
    <border>
      <left/>
      <right/>
      <top/>
      <bottom style="medium">
        <color theme="0"/>
      </bottom>
      <diagonal/>
    </border>
    <border>
      <left/>
      <right style="medium">
        <color rgb="FF002060"/>
      </right>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002060"/>
      </right>
      <top style="medium">
        <color theme="0"/>
      </top>
      <bottom style="medium">
        <color theme="0"/>
      </bottom>
      <diagonal/>
    </border>
    <border>
      <left style="medium">
        <color rgb="FF002060"/>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002060"/>
      </right>
      <top style="medium">
        <color theme="0"/>
      </top>
      <bottom/>
      <diagonal/>
    </border>
    <border>
      <left style="medium">
        <color rgb="FF002060"/>
      </left>
      <right/>
      <top style="medium">
        <color rgb="FF002060"/>
      </top>
      <bottom style="medium">
        <color rgb="FF002060"/>
      </bottom>
      <diagonal/>
    </border>
    <border>
      <left/>
      <right style="medium">
        <color rgb="FF002060"/>
      </right>
      <top style="medium">
        <color rgb="FF002060"/>
      </top>
      <bottom style="medium">
        <color rgb="FF002060"/>
      </bottom>
      <diagonal/>
    </border>
    <border>
      <left style="medium">
        <color rgb="FF002060"/>
      </left>
      <right/>
      <top/>
      <bottom style="medium">
        <color rgb="FF002060"/>
      </bottom>
      <diagonal/>
    </border>
    <border>
      <left/>
      <right style="medium">
        <color rgb="FF002060"/>
      </right>
      <top/>
      <bottom style="medium">
        <color rgb="FF002060"/>
      </bottom>
      <diagonal/>
    </border>
    <border>
      <left style="medium">
        <color rgb="FFC00000"/>
      </left>
      <right style="medium">
        <color rgb="FFC00000"/>
      </right>
      <top style="medium">
        <color rgb="FFC00000"/>
      </top>
      <bottom style="medium">
        <color rgb="FFC00000"/>
      </bottom>
      <diagonal/>
    </border>
    <border>
      <left/>
      <right/>
      <top style="medium">
        <color rgb="FFC00000"/>
      </top>
      <bottom style="medium">
        <color rgb="FFC00000"/>
      </bottom>
      <diagonal/>
    </border>
    <border>
      <left/>
      <right/>
      <top/>
      <bottom style="medium">
        <color rgb="FFC00000"/>
      </bottom>
      <diagonal/>
    </border>
    <border>
      <left style="medium">
        <color rgb="FFC00000"/>
      </left>
      <right/>
      <top style="medium">
        <color rgb="FFC00000"/>
      </top>
      <bottom style="medium">
        <color rgb="FFC00000"/>
      </bottom>
      <diagonal/>
    </border>
    <border>
      <left/>
      <right style="medium">
        <color rgb="FFC00000"/>
      </right>
      <top style="medium">
        <color rgb="FFC00000"/>
      </top>
      <bottom style="medium">
        <color rgb="FFC00000"/>
      </bottom>
      <diagonal/>
    </border>
    <border>
      <left/>
      <right/>
      <top style="thin">
        <color rgb="FF002060"/>
      </top>
      <bottom style="thin">
        <color rgb="FF002060"/>
      </bottom>
      <diagonal/>
    </border>
    <border>
      <left/>
      <right/>
      <top style="medium">
        <color rgb="FF002060"/>
      </top>
      <bottom style="thin">
        <color rgb="FF002060"/>
      </bottom>
      <diagonal/>
    </border>
    <border>
      <left/>
      <right style="medium">
        <color rgb="FF002060"/>
      </right>
      <top style="medium">
        <color rgb="FF002060"/>
      </top>
      <bottom style="thin">
        <color rgb="FF002060"/>
      </bottom>
      <diagonal/>
    </border>
    <border>
      <left style="medium">
        <color rgb="FF002060"/>
      </left>
      <right/>
      <top style="thin">
        <color rgb="FF002060"/>
      </top>
      <bottom style="thin">
        <color rgb="FF002060"/>
      </bottom>
      <diagonal/>
    </border>
    <border>
      <left/>
      <right style="medium">
        <color rgb="FF002060"/>
      </right>
      <top style="thin">
        <color rgb="FF002060"/>
      </top>
      <bottom style="thin">
        <color rgb="FF002060"/>
      </bottom>
      <diagonal/>
    </border>
    <border>
      <left style="medium">
        <color rgb="FF002060"/>
      </left>
      <right/>
      <top style="thin">
        <color rgb="FF002060"/>
      </top>
      <bottom style="medium">
        <color rgb="FF002060"/>
      </bottom>
      <diagonal/>
    </border>
    <border>
      <left/>
      <right/>
      <top style="thin">
        <color rgb="FF002060"/>
      </top>
      <bottom style="medium">
        <color rgb="FF002060"/>
      </bottom>
      <diagonal/>
    </border>
    <border>
      <left/>
      <right style="medium">
        <color rgb="FF002060"/>
      </right>
      <top style="thin">
        <color rgb="FF002060"/>
      </top>
      <bottom style="medium">
        <color rgb="FF002060"/>
      </bottom>
      <diagonal/>
    </border>
    <border>
      <left style="medium">
        <color rgb="FF002060"/>
      </left>
      <right style="medium">
        <color rgb="FF002060"/>
      </right>
      <top style="medium">
        <color rgb="FFC00000"/>
      </top>
      <bottom style="thin">
        <color rgb="FF002060"/>
      </bottom>
      <diagonal/>
    </border>
    <border>
      <left style="medium">
        <color rgb="FF002060"/>
      </left>
      <right style="medium">
        <color rgb="FF002060"/>
      </right>
      <top style="thin">
        <color rgb="FF002060"/>
      </top>
      <bottom style="medium">
        <color rgb="FF002060"/>
      </bottom>
      <diagonal/>
    </border>
    <border>
      <left style="medium">
        <color rgb="FF002060"/>
      </left>
      <right style="medium">
        <color rgb="FF002060"/>
      </right>
      <top style="medium">
        <color rgb="FF002060"/>
      </top>
      <bottom style="thin">
        <color rgb="FF002060"/>
      </bottom>
      <diagonal/>
    </border>
    <border>
      <left style="medium">
        <color rgb="FF002060"/>
      </left>
      <right style="medium">
        <color rgb="FF002060"/>
      </right>
      <top style="thin">
        <color rgb="FF002060"/>
      </top>
      <bottom style="thin">
        <color rgb="FF002060"/>
      </bottom>
      <diagonal/>
    </border>
    <border>
      <left style="medium">
        <color indexed="64"/>
      </left>
      <right style="medium">
        <color indexed="64"/>
      </right>
      <top style="medium">
        <color indexed="64"/>
      </top>
      <bottom style="medium">
        <color indexed="64"/>
      </bottom>
      <diagonal/>
    </border>
    <border>
      <left style="medium">
        <color rgb="FF002060"/>
      </left>
      <right style="thin">
        <color rgb="FF002060"/>
      </right>
      <top style="medium">
        <color rgb="FF002060"/>
      </top>
      <bottom style="thin">
        <color rgb="FF002060"/>
      </bottom>
      <diagonal/>
    </border>
    <border>
      <left style="medium">
        <color rgb="FF002060"/>
      </left>
      <right style="thin">
        <color rgb="FF002060"/>
      </right>
      <top style="thin">
        <color rgb="FF002060"/>
      </top>
      <bottom style="thin">
        <color rgb="FF002060"/>
      </bottom>
      <diagonal/>
    </border>
    <border>
      <left style="medium">
        <color rgb="FF002060"/>
      </left>
      <right style="thin">
        <color rgb="FF002060"/>
      </right>
      <top style="thin">
        <color rgb="FF002060"/>
      </top>
      <bottom style="medium">
        <color rgb="FF002060"/>
      </bottom>
      <diagonal/>
    </border>
    <border>
      <left style="double">
        <color indexed="64"/>
      </left>
      <right/>
      <top style="double">
        <color indexed="64"/>
      </top>
      <bottom/>
      <diagonal/>
    </border>
    <border>
      <left/>
      <right style="double">
        <color indexed="64"/>
      </right>
      <top style="double">
        <color indexed="64"/>
      </top>
      <bottom/>
      <diagonal/>
    </border>
    <border>
      <left style="thin">
        <color rgb="FFB2B2B2"/>
      </left>
      <right style="thin">
        <color rgb="FFB2B2B2"/>
      </right>
      <top style="thin">
        <color rgb="FFB2B2B2"/>
      </top>
      <bottom style="thin">
        <color rgb="FFB2B2B2"/>
      </bottom>
      <diagonal/>
    </border>
    <border>
      <left style="medium">
        <color rgb="FF002060"/>
      </left>
      <right style="medium">
        <color rgb="FF002060"/>
      </right>
      <top style="medium">
        <color rgb="FF002060"/>
      </top>
      <bottom style="medium">
        <color rgb="FF002060"/>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medium">
        <color rgb="FF002060"/>
      </left>
      <right/>
      <top style="thin">
        <color rgb="FF002060"/>
      </top>
      <bottom/>
      <diagonal/>
    </border>
    <border>
      <left/>
      <right/>
      <top style="thin">
        <color rgb="FF002060"/>
      </top>
      <bottom/>
      <diagonal/>
    </border>
    <border>
      <left style="medium">
        <color rgb="FF002060"/>
      </left>
      <right/>
      <top/>
      <bottom style="thin">
        <color rgb="FF002060"/>
      </bottom>
      <diagonal/>
    </border>
    <border>
      <left/>
      <right/>
      <top/>
      <bottom style="thin">
        <color rgb="FF002060"/>
      </bottom>
      <diagonal/>
    </border>
    <border>
      <left style="double">
        <color rgb="FF002060"/>
      </left>
      <right/>
      <top/>
      <bottom/>
      <diagonal/>
    </border>
    <border>
      <left/>
      <right style="double">
        <color rgb="FF002060"/>
      </right>
      <top/>
      <bottom/>
      <diagonal/>
    </border>
    <border>
      <left/>
      <right style="double">
        <color rgb="FF002060"/>
      </right>
      <top style="medium">
        <color rgb="FF002060"/>
      </top>
      <bottom style="medium">
        <color rgb="FF002060"/>
      </bottom>
      <diagonal/>
    </border>
    <border>
      <left style="medium">
        <color rgb="FFC00000"/>
      </left>
      <right/>
      <top/>
      <bottom style="medium">
        <color rgb="FFC00000"/>
      </bottom>
      <diagonal/>
    </border>
    <border>
      <left/>
      <right style="medium">
        <color rgb="FFC00000"/>
      </right>
      <top/>
      <bottom style="medium">
        <color rgb="FFC00000"/>
      </bottom>
      <diagonal/>
    </border>
    <border>
      <left style="medium">
        <color rgb="FFC00000"/>
      </left>
      <right/>
      <top style="medium">
        <color rgb="FFC00000"/>
      </top>
      <bottom/>
      <diagonal/>
    </border>
    <border>
      <left/>
      <right style="medium">
        <color rgb="FFC00000"/>
      </right>
      <top style="medium">
        <color rgb="FFC00000"/>
      </top>
      <bottom/>
      <diagonal/>
    </border>
    <border>
      <left/>
      <right style="double">
        <color rgb="FF002060"/>
      </right>
      <top style="medium">
        <color indexed="64"/>
      </top>
      <bottom style="medium">
        <color indexed="64"/>
      </bottom>
      <diagonal/>
    </border>
    <border>
      <left style="double">
        <color rgb="FF002060"/>
      </left>
      <right/>
      <top style="double">
        <color indexed="64"/>
      </top>
      <bottom style="double">
        <color indexed="64"/>
      </bottom>
      <diagonal/>
    </border>
    <border>
      <left style="double">
        <color rgb="FF002060"/>
      </left>
      <right/>
      <top style="medium">
        <color rgb="FF002060"/>
      </top>
      <bottom style="medium">
        <color rgb="FF002060"/>
      </bottom>
      <diagonal/>
    </border>
    <border>
      <left style="double">
        <color rgb="FF002060"/>
      </left>
      <right style="thin">
        <color rgb="FF7F7F7F"/>
      </right>
      <top style="medium">
        <color rgb="FF002060"/>
      </top>
      <bottom style="medium">
        <color rgb="FF002060"/>
      </bottom>
      <diagonal/>
    </border>
    <border>
      <left style="thin">
        <color rgb="FF7F7F7F"/>
      </left>
      <right/>
      <top style="medium">
        <color rgb="FF002060"/>
      </top>
      <bottom style="medium">
        <color rgb="FF002060"/>
      </bottom>
      <diagonal/>
    </border>
    <border>
      <left/>
      <right style="thin">
        <color rgb="FF7F7F7F"/>
      </right>
      <top style="medium">
        <color rgb="FF002060"/>
      </top>
      <bottom style="medium">
        <color rgb="FF002060"/>
      </bottom>
      <diagonal/>
    </border>
    <border>
      <left style="thin">
        <color rgb="FF7F7F7F"/>
      </left>
      <right style="thin">
        <color rgb="FF7F7F7F"/>
      </right>
      <top style="medium">
        <color rgb="FF002060"/>
      </top>
      <bottom style="medium">
        <color rgb="FF002060"/>
      </bottom>
      <diagonal/>
    </border>
    <border>
      <left/>
      <right style="medium">
        <color rgb="FFC00000"/>
      </right>
      <top style="medium">
        <color rgb="FFC00000"/>
      </top>
      <bottom style="medium">
        <color rgb="FF002060"/>
      </bottom>
      <diagonal/>
    </border>
    <border>
      <left style="medium">
        <color rgb="FFC00000"/>
      </left>
      <right/>
      <top style="medium">
        <color rgb="FFC00000"/>
      </top>
      <bottom style="medium">
        <color rgb="FF002060"/>
      </bottom>
      <diagonal/>
    </border>
    <border>
      <left style="medium">
        <color indexed="64"/>
      </left>
      <right/>
      <top style="medium">
        <color indexed="64"/>
      </top>
      <bottom style="medium">
        <color indexed="64"/>
      </bottom>
      <diagonal/>
    </border>
    <border>
      <left/>
      <right/>
      <top style="medium">
        <color rgb="FFC00000"/>
      </top>
      <bottom style="medium">
        <color rgb="FF002060"/>
      </bottom>
      <diagonal/>
    </border>
    <border>
      <left/>
      <right/>
      <top style="medium">
        <color rgb="FFC00000"/>
      </top>
      <bottom/>
      <diagonal/>
    </border>
    <border>
      <left style="medium">
        <color rgb="FF002060"/>
      </left>
      <right style="medium">
        <color rgb="FF002060"/>
      </right>
      <top/>
      <bottom/>
      <diagonal/>
    </border>
    <border>
      <left style="medium">
        <color rgb="FF002060"/>
      </left>
      <right style="medium">
        <color rgb="FF002060"/>
      </right>
      <top style="medium">
        <color rgb="FF002060"/>
      </top>
      <bottom/>
      <diagonal/>
    </border>
    <border>
      <left style="medium">
        <color rgb="FFC00000"/>
      </left>
      <right style="medium">
        <color rgb="FFC00000"/>
      </right>
      <top style="medium">
        <color rgb="FF002060"/>
      </top>
      <bottom style="medium">
        <color rgb="FFC00000"/>
      </bottom>
      <diagonal/>
    </border>
    <border>
      <left style="medium">
        <color rgb="FFC00000"/>
      </left>
      <right style="medium">
        <color rgb="FFC00000"/>
      </right>
      <top style="medium">
        <color rgb="FFC00000"/>
      </top>
      <bottom style="medium">
        <color rgb="FF002060"/>
      </bottom>
      <diagonal/>
    </border>
    <border>
      <left style="thin">
        <color rgb="FF7F7F7F"/>
      </left>
      <right style="thin">
        <color rgb="FF7F7F7F"/>
      </right>
      <top/>
      <bottom style="medium">
        <color rgb="FF002060"/>
      </bottom>
      <diagonal/>
    </border>
    <border>
      <left style="medium">
        <color rgb="FFC00000"/>
      </left>
      <right/>
      <top style="medium">
        <color rgb="FF002060"/>
      </top>
      <bottom style="medium">
        <color rgb="FFC00000"/>
      </bottom>
      <diagonal/>
    </border>
    <border>
      <left/>
      <right style="medium">
        <color rgb="FFC00000"/>
      </right>
      <top style="medium">
        <color rgb="FF002060"/>
      </top>
      <bottom style="medium">
        <color rgb="FFC00000"/>
      </bottom>
      <diagonal/>
    </border>
    <border>
      <left style="double">
        <color rgb="FF002060"/>
      </left>
      <right/>
      <top style="double">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double">
        <color rgb="FF002060"/>
      </right>
      <top style="medium">
        <color indexed="64"/>
      </top>
      <bottom/>
      <diagonal/>
    </border>
    <border>
      <left style="double">
        <color rgb="FF002060"/>
      </left>
      <right style="medium">
        <color theme="0"/>
      </right>
      <top style="medium">
        <color theme="0"/>
      </top>
      <bottom style="medium">
        <color theme="0"/>
      </bottom>
      <diagonal/>
    </border>
    <border>
      <left style="double">
        <color rgb="FF002060"/>
      </left>
      <right style="medium">
        <color theme="0"/>
      </right>
      <top style="medium">
        <color theme="0"/>
      </top>
      <bottom style="medium">
        <color rgb="FF002060"/>
      </bottom>
      <diagonal/>
    </border>
    <border>
      <left style="double">
        <color rgb="FF002060"/>
      </left>
      <right style="medium">
        <color theme="0"/>
      </right>
      <top style="medium">
        <color rgb="FF002060"/>
      </top>
      <bottom style="medium">
        <color theme="0"/>
      </bottom>
      <diagonal/>
    </border>
    <border>
      <left style="medium">
        <color theme="0"/>
      </left>
      <right style="medium">
        <color theme="0"/>
      </right>
      <top style="medium">
        <color rgb="FF002060"/>
      </top>
      <bottom style="medium">
        <color theme="0"/>
      </bottom>
      <diagonal/>
    </border>
    <border>
      <left style="medium">
        <color theme="0"/>
      </left>
      <right/>
      <top style="medium">
        <color rgb="FF002060"/>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rgb="FF002060"/>
      </bottom>
      <diagonal/>
    </border>
    <border>
      <left style="medium">
        <color theme="0"/>
      </left>
      <right style="double">
        <color rgb="FF002060"/>
      </right>
      <top style="medium">
        <color rgb="FF002060"/>
      </top>
      <bottom style="medium">
        <color theme="0"/>
      </bottom>
      <diagonal/>
    </border>
    <border>
      <left style="medium">
        <color theme="0"/>
      </left>
      <right style="double">
        <color rgb="FF002060"/>
      </right>
      <top style="medium">
        <color theme="0"/>
      </top>
      <bottom style="medium">
        <color theme="0"/>
      </bottom>
      <diagonal/>
    </border>
    <border>
      <left style="medium">
        <color theme="0"/>
      </left>
      <right style="double">
        <color rgb="FF002060"/>
      </right>
      <top style="medium">
        <color theme="0"/>
      </top>
      <bottom style="medium">
        <color rgb="FF002060"/>
      </bottom>
      <diagonal/>
    </border>
    <border>
      <left style="medium">
        <color rgb="FF002060"/>
      </left>
      <right style="thin">
        <color rgb="FF002060"/>
      </right>
      <top style="medium">
        <color rgb="FF002060"/>
      </top>
      <bottom style="medium">
        <color rgb="FF002060"/>
      </bottom>
      <diagonal/>
    </border>
    <border>
      <left style="thin">
        <color rgb="FF002060"/>
      </left>
      <right style="thin">
        <color rgb="FF002060"/>
      </right>
      <top style="medium">
        <color rgb="FF002060"/>
      </top>
      <bottom style="medium">
        <color rgb="FF002060"/>
      </bottom>
      <diagonal/>
    </border>
    <border>
      <left style="thin">
        <color rgb="FF002060"/>
      </left>
      <right style="double">
        <color rgb="FF002060"/>
      </right>
      <top style="medium">
        <color rgb="FF002060"/>
      </top>
      <bottom style="medium">
        <color rgb="FF002060"/>
      </bottom>
      <diagonal/>
    </border>
    <border>
      <left style="medium">
        <color rgb="FF002060"/>
      </left>
      <right style="thin">
        <color rgb="FF002060"/>
      </right>
      <top style="medium">
        <color rgb="FF002060"/>
      </top>
      <bottom/>
      <diagonal/>
    </border>
    <border>
      <left style="thin">
        <color rgb="FF002060"/>
      </left>
      <right style="thin">
        <color rgb="FF002060"/>
      </right>
      <top style="medium">
        <color rgb="FF002060"/>
      </top>
      <bottom/>
      <diagonal/>
    </border>
    <border>
      <left style="thin">
        <color rgb="FF002060"/>
      </left>
      <right style="double">
        <color rgb="FF002060"/>
      </right>
      <top style="medium">
        <color rgb="FF002060"/>
      </top>
      <bottom/>
      <diagonal/>
    </border>
    <border>
      <left style="medium">
        <color rgb="FF002060"/>
      </left>
      <right style="thin">
        <color rgb="FF002060"/>
      </right>
      <top/>
      <bottom/>
      <diagonal/>
    </border>
    <border>
      <left style="thin">
        <color rgb="FF002060"/>
      </left>
      <right style="thin">
        <color rgb="FF002060"/>
      </right>
      <top/>
      <bottom/>
      <diagonal/>
    </border>
    <border>
      <left style="thin">
        <color rgb="FF002060"/>
      </left>
      <right style="double">
        <color rgb="FF002060"/>
      </right>
      <top/>
      <bottom/>
      <diagonal/>
    </border>
    <border>
      <left style="medium">
        <color rgb="FF002060"/>
      </left>
      <right style="thin">
        <color rgb="FF002060"/>
      </right>
      <top/>
      <bottom style="medium">
        <color rgb="FF002060"/>
      </bottom>
      <diagonal/>
    </border>
    <border>
      <left style="thin">
        <color rgb="FF002060"/>
      </left>
      <right style="thin">
        <color rgb="FF002060"/>
      </right>
      <top/>
      <bottom style="medium">
        <color rgb="FF002060"/>
      </bottom>
      <diagonal/>
    </border>
    <border>
      <left style="thin">
        <color rgb="FF002060"/>
      </left>
      <right style="double">
        <color rgb="FF002060"/>
      </right>
      <top/>
      <bottom style="medium">
        <color rgb="FF002060"/>
      </bottom>
      <diagonal/>
    </border>
    <border>
      <left style="double">
        <color rgb="FF002060"/>
      </left>
      <right/>
      <top style="double">
        <color rgb="FF002060"/>
      </top>
      <bottom style="double">
        <color indexed="64"/>
      </bottom>
      <diagonal/>
    </border>
    <border>
      <left/>
      <right style="double">
        <color indexed="64"/>
      </right>
      <top style="double">
        <color rgb="FF002060"/>
      </top>
      <bottom style="double">
        <color indexed="64"/>
      </bottom>
      <diagonal/>
    </border>
    <border>
      <left style="double">
        <color indexed="64"/>
      </left>
      <right/>
      <top style="double">
        <color rgb="FF002060"/>
      </top>
      <bottom style="double">
        <color indexed="64"/>
      </bottom>
      <diagonal/>
    </border>
    <border>
      <left/>
      <right/>
      <top style="double">
        <color rgb="FF002060"/>
      </top>
      <bottom style="double">
        <color indexed="64"/>
      </bottom>
      <diagonal/>
    </border>
    <border>
      <left style="medium">
        <color indexed="64"/>
      </left>
      <right/>
      <top style="double">
        <color rgb="FF002060"/>
      </top>
      <bottom style="medium">
        <color indexed="64"/>
      </bottom>
      <diagonal/>
    </border>
    <border>
      <left/>
      <right style="double">
        <color rgb="FF002060"/>
      </right>
      <top style="double">
        <color rgb="FF002060"/>
      </top>
      <bottom style="medium">
        <color indexed="64"/>
      </bottom>
      <diagonal/>
    </border>
    <border>
      <left style="double">
        <color rgb="FF002060"/>
      </left>
      <right/>
      <top style="medium">
        <color rgb="FF002060"/>
      </top>
      <bottom style="thin">
        <color rgb="FF002060"/>
      </bottom>
      <diagonal/>
    </border>
    <border>
      <left style="double">
        <color rgb="FF002060"/>
      </left>
      <right/>
      <top style="thin">
        <color rgb="FF002060"/>
      </top>
      <bottom style="thin">
        <color rgb="FF002060"/>
      </bottom>
      <diagonal/>
    </border>
    <border>
      <left style="double">
        <color rgb="FF002060"/>
      </left>
      <right/>
      <top style="thin">
        <color rgb="FF002060"/>
      </top>
      <bottom style="medium">
        <color rgb="FF002060"/>
      </bottom>
      <diagonal/>
    </border>
    <border>
      <left style="medium">
        <color theme="0"/>
      </left>
      <right style="medium">
        <color theme="0"/>
      </right>
      <top/>
      <bottom style="medium">
        <color theme="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rgb="FF002060"/>
      </bottom>
      <diagonal/>
    </border>
    <border>
      <left/>
      <right style="medium">
        <color indexed="64"/>
      </right>
      <top style="medium">
        <color indexed="64"/>
      </top>
      <bottom style="medium">
        <color rgb="FF002060"/>
      </bottom>
      <diagonal/>
    </border>
    <border>
      <left/>
      <right/>
      <top style="double">
        <color rgb="FF002060"/>
      </top>
      <bottom style="medium">
        <color indexed="64"/>
      </bottom>
      <diagonal/>
    </border>
    <border>
      <left/>
      <right style="medium">
        <color indexed="64"/>
      </right>
      <top style="double">
        <color rgb="FF002060"/>
      </top>
      <bottom style="medium">
        <color indexed="64"/>
      </bottom>
      <diagonal/>
    </border>
    <border>
      <left style="medium">
        <color rgb="FFC00000"/>
      </left>
      <right/>
      <top/>
      <bottom/>
      <diagonal/>
    </border>
    <border>
      <left/>
      <right style="medium">
        <color rgb="FFC00000"/>
      </right>
      <top/>
      <bottom/>
      <diagonal/>
    </border>
    <border>
      <left/>
      <right style="double">
        <color rgb="FF002060"/>
      </right>
      <top style="medium">
        <color rgb="FF002060"/>
      </top>
      <bottom/>
      <diagonal/>
    </border>
    <border>
      <left/>
      <right style="double">
        <color rgb="FF002060"/>
      </right>
      <top/>
      <bottom style="medium">
        <color rgb="FF002060"/>
      </bottom>
      <diagonal/>
    </border>
    <border>
      <left style="medium">
        <color rgb="FF002060"/>
      </left>
      <right style="double">
        <color rgb="FF002060"/>
      </right>
      <top/>
      <bottom/>
      <diagonal/>
    </border>
    <border>
      <left style="medium">
        <color rgb="FF002060"/>
      </left>
      <right style="double">
        <color rgb="FF002060"/>
      </right>
      <top style="medium">
        <color rgb="FF002060"/>
      </top>
      <bottom style="medium">
        <color rgb="FF002060"/>
      </bottom>
      <diagonal/>
    </border>
    <border>
      <left style="medium">
        <color rgb="FF002060"/>
      </left>
      <right style="double">
        <color rgb="FF002060"/>
      </right>
      <top style="medium">
        <color rgb="FF002060"/>
      </top>
      <bottom/>
      <diagonal/>
    </border>
  </borders>
  <cellStyleXfs count="12">
    <xf numFmtId="0" fontId="0" fillId="0" borderId="0"/>
    <xf numFmtId="44" fontId="1" fillId="0" borderId="0" applyFont="0" applyFill="0" applyBorder="0" applyAlignment="0" applyProtection="0"/>
    <xf numFmtId="0" fontId="2" fillId="2" borderId="1" applyNumberFormat="0" applyAlignment="0" applyProtection="0"/>
    <xf numFmtId="0" fontId="3" fillId="3" borderId="1" applyNumberFormat="0" applyAlignment="0" applyProtection="0"/>
    <xf numFmtId="0" fontId="5" fillId="0" borderId="0" applyNumberFormat="0" applyFill="0" applyBorder="0" applyAlignment="0" applyProtection="0"/>
    <xf numFmtId="0" fontId="6" fillId="0" borderId="0"/>
    <xf numFmtId="0" fontId="21" fillId="0" borderId="0" applyNumberFormat="0" applyFill="0" applyBorder="0" applyAlignment="0" applyProtection="0">
      <alignment vertical="top"/>
      <protection locked="0"/>
    </xf>
    <xf numFmtId="0" fontId="32" fillId="0" borderId="0"/>
    <xf numFmtId="0" fontId="49" fillId="0" borderId="0"/>
    <xf numFmtId="187" fontId="49" fillId="0" borderId="0" applyFont="0" applyFill="0" applyBorder="0" applyProtection="0">
      <alignment horizontal="left" vertical="center" indent="1"/>
    </xf>
    <xf numFmtId="0" fontId="63" fillId="14" borderId="0" applyNumberFormat="0" applyBorder="0" applyAlignment="0" applyProtection="0"/>
    <xf numFmtId="0" fontId="1" fillId="15" borderId="92" applyNumberFormat="0" applyFont="0" applyAlignment="0" applyProtection="0"/>
  </cellStyleXfs>
  <cellXfs count="652">
    <xf numFmtId="0" fontId="0" fillId="0" borderId="0" xfId="0"/>
    <xf numFmtId="1" fontId="7" fillId="0" borderId="2" xfId="5" applyNumberFormat="1" applyFont="1" applyBorder="1" applyAlignment="1" applyProtection="1">
      <alignment horizontal="right"/>
      <protection hidden="1"/>
    </xf>
    <xf numFmtId="1" fontId="7" fillId="0" borderId="5" xfId="5" applyNumberFormat="1" applyFont="1" applyBorder="1" applyAlignment="1" applyProtection="1">
      <alignment horizontal="center" vertical="center"/>
      <protection hidden="1"/>
    </xf>
    <xf numFmtId="1" fontId="11" fillId="4" borderId="7" xfId="4" applyNumberFormat="1" applyFont="1" applyFill="1" applyBorder="1" applyAlignment="1" applyProtection="1">
      <alignment horizontal="right" vertical="center"/>
    </xf>
    <xf numFmtId="1" fontId="12" fillId="0" borderId="7" xfId="5" applyNumberFormat="1" applyFont="1" applyBorder="1" applyAlignment="1" applyProtection="1">
      <alignment horizontal="center" vertical="center"/>
      <protection hidden="1"/>
    </xf>
    <xf numFmtId="1" fontId="7" fillId="0" borderId="7" xfId="5" applyNumberFormat="1" applyFont="1" applyBorder="1" applyAlignment="1" applyProtection="1">
      <alignment horizontal="center" vertical="center"/>
      <protection hidden="1"/>
    </xf>
    <xf numFmtId="1" fontId="14" fillId="4" borderId="7" xfId="4" applyNumberFormat="1" applyFont="1" applyFill="1" applyBorder="1" applyAlignment="1" applyProtection="1">
      <alignment horizontal="right" vertical="center"/>
    </xf>
    <xf numFmtId="1" fontId="7" fillId="0" borderId="10" xfId="5" applyNumberFormat="1" applyFont="1" applyBorder="1" applyAlignment="1" applyProtection="1">
      <alignment horizontal="right"/>
      <protection hidden="1"/>
    </xf>
    <xf numFmtId="1" fontId="13" fillId="5" borderId="7" xfId="5" applyNumberFormat="1" applyFont="1" applyFill="1" applyBorder="1" applyAlignment="1" applyProtection="1">
      <alignment horizontal="left" vertical="center"/>
      <protection locked="0"/>
    </xf>
    <xf numFmtId="1" fontId="12" fillId="0" borderId="7" xfId="5" applyNumberFormat="1" applyFont="1" applyBorder="1" applyAlignment="1" applyProtection="1">
      <alignment horizontal="centerContinuous" vertical="center"/>
      <protection hidden="1"/>
    </xf>
    <xf numFmtId="1" fontId="7" fillId="0" borderId="8" xfId="5" applyNumberFormat="1" applyFont="1" applyBorder="1" applyAlignment="1" applyProtection="1">
      <alignment horizontal="centerContinuous" vertical="center"/>
      <protection hidden="1"/>
    </xf>
    <xf numFmtId="1" fontId="7" fillId="0" borderId="11" xfId="5" applyNumberFormat="1" applyFont="1" applyBorder="1" applyAlignment="1" applyProtection="1">
      <alignment horizontal="right"/>
      <protection hidden="1"/>
    </xf>
    <xf numFmtId="1" fontId="13" fillId="5" borderId="12" xfId="5" applyNumberFormat="1" applyFont="1" applyFill="1" applyBorder="1" applyAlignment="1" applyProtection="1">
      <alignment vertical="center"/>
      <protection locked="0"/>
    </xf>
    <xf numFmtId="1" fontId="13" fillId="5" borderId="12" xfId="5" applyNumberFormat="1" applyFont="1" applyFill="1" applyBorder="1" applyAlignment="1" applyProtection="1">
      <alignment horizontal="center" vertical="center"/>
      <protection locked="0"/>
    </xf>
    <xf numFmtId="165" fontId="13" fillId="5" borderId="12" xfId="5" applyNumberFormat="1" applyFont="1" applyFill="1" applyBorder="1" applyAlignment="1" applyProtection="1">
      <alignment horizontal="centerContinuous" vertical="center"/>
      <protection locked="0"/>
    </xf>
    <xf numFmtId="1" fontId="13" fillId="5" borderId="13" xfId="5" applyNumberFormat="1" applyFont="1" applyFill="1" applyBorder="1" applyAlignment="1" applyProtection="1">
      <alignment horizontal="centerContinuous" vertical="center"/>
      <protection locked="0"/>
    </xf>
    <xf numFmtId="0" fontId="4" fillId="6" borderId="14" xfId="0" applyFont="1" applyFill="1" applyBorder="1" applyAlignment="1">
      <alignment horizontal="left" vertical="center"/>
    </xf>
    <xf numFmtId="0" fontId="4" fillId="6" borderId="15" xfId="0" applyFont="1" applyFill="1" applyBorder="1"/>
    <xf numFmtId="0" fontId="4" fillId="6" borderId="15" xfId="0" applyFont="1" applyFill="1" applyBorder="1" applyAlignment="1">
      <alignment horizontal="left" vertical="center"/>
    </xf>
    <xf numFmtId="0" fontId="4" fillId="6" borderId="15" xfId="0" applyFont="1" applyFill="1" applyBorder="1" applyAlignment="1">
      <alignment horizontal="center" vertical="center"/>
    </xf>
    <xf numFmtId="0" fontId="4" fillId="6" borderId="16" xfId="0" applyFont="1" applyFill="1" applyBorder="1"/>
    <xf numFmtId="0" fontId="4" fillId="0" borderId="0" xfId="0" applyFont="1"/>
    <xf numFmtId="0" fontId="0" fillId="0" borderId="17" xfId="0" applyBorder="1" applyAlignment="1">
      <alignment horizontal="left" vertical="center"/>
    </xf>
    <xf numFmtId="0" fontId="0" fillId="0" borderId="18" xfId="0" applyBorder="1"/>
    <xf numFmtId="0" fontId="0" fillId="0" borderId="18" xfId="0" applyBorder="1" applyAlignment="1">
      <alignment horizontal="left" vertical="center"/>
    </xf>
    <xf numFmtId="0" fontId="0" fillId="0" borderId="18" xfId="0" applyBorder="1" applyAlignment="1">
      <alignment horizontal="center" vertical="center"/>
    </xf>
    <xf numFmtId="0" fontId="0" fillId="0" borderId="19" xfId="0" applyBorder="1"/>
    <xf numFmtId="0" fontId="0" fillId="0" borderId="20" xfId="0" applyBorder="1" applyAlignment="1">
      <alignment horizontal="left" vertical="center"/>
    </xf>
    <xf numFmtId="0" fontId="0" fillId="0" borderId="7" xfId="0" applyBorder="1"/>
    <xf numFmtId="0" fontId="0" fillId="0" borderId="7" xfId="0" applyBorder="1" applyAlignment="1">
      <alignment horizontal="left" vertical="center"/>
    </xf>
    <xf numFmtId="0" fontId="0" fillId="0" borderId="7" xfId="0" applyBorder="1" applyAlignment="1">
      <alignment horizontal="center" vertical="center"/>
    </xf>
    <xf numFmtId="0" fontId="0" fillId="0" borderId="21" xfId="0" applyBorder="1"/>
    <xf numFmtId="0" fontId="4" fillId="0" borderId="22" xfId="0" applyFont="1" applyBorder="1" applyAlignment="1">
      <alignment horizontal="left" vertical="center"/>
    </xf>
    <xf numFmtId="0" fontId="4" fillId="0" borderId="23" xfId="0" applyFont="1" applyBorder="1"/>
    <xf numFmtId="0" fontId="4" fillId="0" borderId="23" xfId="0" applyFont="1" applyBorder="1" applyAlignment="1">
      <alignment horizontal="left" vertical="center"/>
    </xf>
    <xf numFmtId="0" fontId="4" fillId="0" borderId="23" xfId="0" applyFont="1" applyBorder="1" applyAlignment="1">
      <alignment horizontal="center" vertical="center"/>
    </xf>
    <xf numFmtId="0" fontId="4" fillId="0" borderId="24" xfId="0" applyFont="1" applyBorder="1"/>
    <xf numFmtId="0" fontId="0" fillId="0" borderId="25" xfId="0" applyBorder="1" applyAlignment="1">
      <alignment horizontal="left" vertical="center"/>
    </xf>
    <xf numFmtId="0" fontId="0" fillId="0" borderId="26" xfId="0" applyBorder="1"/>
    <xf numFmtId="0" fontId="0" fillId="0" borderId="26" xfId="0" applyBorder="1" applyAlignment="1">
      <alignment horizontal="left" vertical="center"/>
    </xf>
    <xf numFmtId="0" fontId="0" fillId="0" borderId="26" xfId="0" applyBorder="1" applyAlignment="1">
      <alignment horizontal="center" vertical="center"/>
    </xf>
    <xf numFmtId="0" fontId="0" fillId="0" borderId="27" xfId="0" applyBorder="1"/>
    <xf numFmtId="0" fontId="0" fillId="0" borderId="0" xfId="0" applyAlignment="1">
      <alignment horizontal="left" vertical="center"/>
    </xf>
    <xf numFmtId="0" fontId="0" fillId="0" borderId="0" xfId="0" applyAlignment="1">
      <alignment horizontal="center"/>
    </xf>
    <xf numFmtId="0" fontId="16" fillId="0" borderId="0" xfId="5" applyFont="1" applyAlignment="1" applyProtection="1">
      <alignment vertical="center"/>
      <protection hidden="1"/>
    </xf>
    <xf numFmtId="0" fontId="19" fillId="0" borderId="0" xfId="5" applyFont="1" applyAlignment="1" applyProtection="1">
      <alignment horizontal="right"/>
      <protection hidden="1"/>
    </xf>
    <xf numFmtId="0" fontId="20" fillId="0" borderId="0" xfId="5" applyFont="1" applyProtection="1">
      <protection hidden="1"/>
    </xf>
    <xf numFmtId="0" fontId="20" fillId="0" borderId="0" xfId="5" applyFont="1" applyAlignment="1" applyProtection="1">
      <alignment horizontal="center" vertical="center"/>
      <protection hidden="1"/>
    </xf>
    <xf numFmtId="0" fontId="26" fillId="0" borderId="0" xfId="5" applyFont="1" applyAlignment="1" applyProtection="1">
      <alignment vertical="center"/>
      <protection hidden="1"/>
    </xf>
    <xf numFmtId="0" fontId="30" fillId="0" borderId="0" xfId="5" applyFont="1" applyAlignment="1" applyProtection="1">
      <alignment vertical="center"/>
      <protection hidden="1"/>
    </xf>
    <xf numFmtId="0" fontId="0" fillId="6" borderId="29" xfId="0" applyFill="1" applyBorder="1"/>
    <xf numFmtId="0" fontId="0" fillId="6" borderId="30" xfId="0" applyFill="1" applyBorder="1"/>
    <xf numFmtId="0" fontId="0" fillId="6" borderId="31" xfId="0" applyFill="1" applyBorder="1"/>
    <xf numFmtId="0" fontId="0" fillId="6" borderId="32" xfId="0" applyFill="1" applyBorder="1"/>
    <xf numFmtId="0" fontId="0" fillId="6" borderId="33" xfId="0" applyFill="1" applyBorder="1"/>
    <xf numFmtId="0" fontId="0" fillId="0" borderId="29" xfId="0" applyBorder="1"/>
    <xf numFmtId="0" fontId="33" fillId="0" borderId="34" xfId="7" applyFont="1" applyBorder="1" applyAlignment="1" applyProtection="1">
      <alignment horizontal="center" vertical="center"/>
      <protection hidden="1"/>
    </xf>
    <xf numFmtId="0" fontId="33" fillId="0" borderId="37" xfId="7" applyFont="1" applyBorder="1" applyAlignment="1" applyProtection="1">
      <alignment horizontal="center" vertical="center"/>
      <protection hidden="1"/>
    </xf>
    <xf numFmtId="0" fontId="0" fillId="6" borderId="28" xfId="0" applyFill="1" applyBorder="1"/>
    <xf numFmtId="0" fontId="33" fillId="0" borderId="38" xfId="7" applyFont="1" applyBorder="1" applyAlignment="1" applyProtection="1">
      <alignment horizontal="center" vertical="top"/>
      <protection hidden="1"/>
    </xf>
    <xf numFmtId="0" fontId="33" fillId="0" borderId="39" xfId="7" applyFont="1" applyBorder="1" applyAlignment="1" applyProtection="1">
      <alignment horizontal="center" vertical="top"/>
      <protection hidden="1"/>
    </xf>
    <xf numFmtId="0" fontId="33" fillId="0" borderId="42" xfId="7" applyFont="1" applyBorder="1" applyAlignment="1" applyProtection="1">
      <alignment horizontal="center" vertical="top"/>
      <protection hidden="1"/>
    </xf>
    <xf numFmtId="0" fontId="18" fillId="0" borderId="43" xfId="0" applyFont="1" applyBorder="1" applyProtection="1">
      <protection hidden="1"/>
    </xf>
    <xf numFmtId="0" fontId="18" fillId="0" borderId="44" xfId="0" applyFont="1" applyBorder="1" applyProtection="1">
      <protection hidden="1"/>
    </xf>
    <xf numFmtId="0" fontId="18" fillId="0" borderId="45" xfId="0" applyFont="1" applyBorder="1" applyProtection="1">
      <protection hidden="1"/>
    </xf>
    <xf numFmtId="0" fontId="18" fillId="0" borderId="49" xfId="0" applyFont="1" applyBorder="1" applyProtection="1">
      <protection hidden="1"/>
    </xf>
    <xf numFmtId="0" fontId="18" fillId="0" borderId="50" xfId="0" applyFont="1" applyBorder="1" applyProtection="1">
      <protection hidden="1"/>
    </xf>
    <xf numFmtId="0" fontId="25" fillId="9" borderId="51" xfId="7" applyFont="1" applyFill="1" applyBorder="1" applyProtection="1">
      <protection hidden="1"/>
    </xf>
    <xf numFmtId="0" fontId="25" fillId="9" borderId="52" xfId="7" applyFont="1" applyFill="1" applyBorder="1" applyProtection="1">
      <protection hidden="1"/>
    </xf>
    <xf numFmtId="0" fontId="26" fillId="9" borderId="52" xfId="7" applyFont="1" applyFill="1" applyBorder="1" applyAlignment="1" applyProtection="1">
      <alignment horizontal="centerContinuous" wrapText="1"/>
      <protection hidden="1"/>
    </xf>
    <xf numFmtId="0" fontId="25" fillId="9" borderId="52" xfId="7" applyFont="1" applyFill="1" applyBorder="1" applyAlignment="1" applyProtection="1">
      <alignment horizontal="right"/>
      <protection hidden="1"/>
    </xf>
    <xf numFmtId="0" fontId="26" fillId="9" borderId="52" xfId="7" applyFont="1" applyFill="1" applyBorder="1" applyProtection="1">
      <protection hidden="1"/>
    </xf>
    <xf numFmtId="0" fontId="22" fillId="9" borderId="52" xfId="7" applyFont="1" applyFill="1" applyBorder="1" applyProtection="1">
      <protection hidden="1"/>
    </xf>
    <xf numFmtId="0" fontId="34" fillId="9" borderId="52" xfId="0" applyFont="1" applyFill="1" applyBorder="1" applyProtection="1">
      <protection hidden="1"/>
    </xf>
    <xf numFmtId="0" fontId="34" fillId="9" borderId="53" xfId="0" applyFont="1" applyFill="1" applyBorder="1" applyProtection="1">
      <protection hidden="1"/>
    </xf>
    <xf numFmtId="0" fontId="25" fillId="9" borderId="54" xfId="7" applyFont="1" applyFill="1" applyBorder="1" applyProtection="1">
      <protection hidden="1"/>
    </xf>
    <xf numFmtId="0" fontId="26" fillId="9" borderId="55" xfId="7" applyFont="1" applyFill="1" applyBorder="1" applyProtection="1">
      <protection hidden="1"/>
    </xf>
    <xf numFmtId="0" fontId="22" fillId="9" borderId="55" xfId="7" applyFont="1" applyFill="1" applyBorder="1" applyProtection="1">
      <protection hidden="1"/>
    </xf>
    <xf numFmtId="0" fontId="34" fillId="9" borderId="55" xfId="0" applyFont="1" applyFill="1" applyBorder="1" applyProtection="1">
      <protection hidden="1"/>
    </xf>
    <xf numFmtId="0" fontId="34" fillId="9" borderId="56" xfId="0" applyFont="1" applyFill="1" applyBorder="1" applyProtection="1">
      <protection hidden="1"/>
    </xf>
    <xf numFmtId="0" fontId="22" fillId="0" borderId="60" xfId="7" applyFont="1" applyBorder="1" applyProtection="1">
      <protection hidden="1"/>
    </xf>
    <xf numFmtId="0" fontId="34" fillId="0" borderId="60" xfId="0" applyFont="1" applyBorder="1" applyProtection="1">
      <protection hidden="1"/>
    </xf>
    <xf numFmtId="0" fontId="34" fillId="0" borderId="61" xfId="0" applyFont="1" applyBorder="1" applyProtection="1">
      <protection hidden="1"/>
    </xf>
    <xf numFmtId="0" fontId="22" fillId="0" borderId="63" xfId="7" applyFont="1" applyBorder="1" applyProtection="1">
      <protection hidden="1"/>
    </xf>
    <xf numFmtId="0" fontId="34" fillId="0" borderId="63" xfId="0" applyFont="1" applyBorder="1" applyProtection="1">
      <protection hidden="1"/>
    </xf>
    <xf numFmtId="0" fontId="34" fillId="0" borderId="64" xfId="0" applyFont="1" applyBorder="1" applyProtection="1">
      <protection hidden="1"/>
    </xf>
    <xf numFmtId="0" fontId="40" fillId="0" borderId="44" xfId="4" applyFont="1" applyFill="1" applyBorder="1" applyAlignment="1" applyProtection="1">
      <alignment vertical="top"/>
      <protection hidden="1"/>
    </xf>
    <xf numFmtId="0" fontId="34" fillId="0" borderId="44" xfId="0" applyFont="1" applyBorder="1" applyProtection="1">
      <protection hidden="1"/>
    </xf>
    <xf numFmtId="0" fontId="34" fillId="0" borderId="50" xfId="0" applyFont="1" applyBorder="1" applyProtection="1">
      <protection hidden="1"/>
    </xf>
    <xf numFmtId="0" fontId="25" fillId="10" borderId="65" xfId="7" applyFont="1" applyFill="1" applyBorder="1" applyAlignment="1" applyProtection="1">
      <alignment vertical="center"/>
      <protection hidden="1"/>
    </xf>
    <xf numFmtId="0" fontId="41" fillId="10" borderId="30" xfId="7" applyFont="1" applyFill="1" applyBorder="1" applyAlignment="1" applyProtection="1">
      <alignment vertical="center"/>
      <protection hidden="1"/>
    </xf>
    <xf numFmtId="0" fontId="18" fillId="10" borderId="30" xfId="0" applyFont="1" applyFill="1" applyBorder="1" applyAlignment="1" applyProtection="1">
      <alignment vertical="center"/>
      <protection hidden="1"/>
    </xf>
    <xf numFmtId="0" fontId="42" fillId="10" borderId="30" xfId="7" applyFont="1" applyFill="1" applyBorder="1" applyAlignment="1" applyProtection="1">
      <alignment horizontal="right" vertical="center"/>
      <protection hidden="1"/>
    </xf>
    <xf numFmtId="0" fontId="26" fillId="10" borderId="30" xfId="7" applyFont="1" applyFill="1" applyBorder="1" applyAlignment="1" applyProtection="1">
      <alignment vertical="center"/>
      <protection hidden="1"/>
    </xf>
    <xf numFmtId="0" fontId="43" fillId="10" borderId="30" xfId="7" applyFont="1" applyFill="1" applyBorder="1" applyAlignment="1" applyProtection="1">
      <alignment vertical="center"/>
      <protection hidden="1"/>
    </xf>
    <xf numFmtId="0" fontId="44" fillId="10" borderId="30" xfId="7" applyFont="1" applyFill="1" applyBorder="1" applyAlignment="1" applyProtection="1">
      <alignment vertical="center"/>
      <protection hidden="1"/>
    </xf>
    <xf numFmtId="0" fontId="18" fillId="10" borderId="66" xfId="0" applyFont="1" applyFill="1" applyBorder="1" applyAlignment="1" applyProtection="1">
      <alignment vertical="center"/>
      <protection hidden="1"/>
    </xf>
    <xf numFmtId="0" fontId="25" fillId="10" borderId="29" xfId="7" applyFont="1" applyFill="1" applyBorder="1" applyProtection="1">
      <protection hidden="1"/>
    </xf>
    <xf numFmtId="0" fontId="25" fillId="10" borderId="31" xfId="7" applyFont="1" applyFill="1" applyBorder="1" applyProtection="1">
      <protection hidden="1"/>
    </xf>
    <xf numFmtId="0" fontId="26" fillId="10" borderId="31" xfId="7" applyFont="1" applyFill="1" applyBorder="1" applyProtection="1">
      <protection hidden="1"/>
    </xf>
    <xf numFmtId="44" fontId="26" fillId="10" borderId="31" xfId="1" applyFont="1" applyFill="1" applyBorder="1" applyProtection="1">
      <protection hidden="1"/>
    </xf>
    <xf numFmtId="0" fontId="26" fillId="10" borderId="31" xfId="0" applyFont="1" applyFill="1" applyBorder="1" applyProtection="1">
      <protection hidden="1"/>
    </xf>
    <xf numFmtId="0" fontId="45" fillId="10" borderId="31" xfId="7" applyFont="1" applyFill="1" applyBorder="1" applyAlignment="1" applyProtection="1">
      <alignment horizontal="center"/>
      <protection hidden="1"/>
    </xf>
    <xf numFmtId="0" fontId="46" fillId="10" borderId="31" xfId="7" applyFont="1" applyFill="1" applyBorder="1" applyAlignment="1" applyProtection="1">
      <alignment horizontal="center"/>
      <protection hidden="1"/>
    </xf>
    <xf numFmtId="0" fontId="46" fillId="10" borderId="31" xfId="7" applyFont="1" applyFill="1" applyBorder="1" applyAlignment="1" applyProtection="1">
      <alignment horizontal="right"/>
      <protection hidden="1"/>
    </xf>
    <xf numFmtId="0" fontId="0" fillId="10" borderId="32" xfId="0" applyFill="1" applyBorder="1" applyProtection="1">
      <protection hidden="1"/>
    </xf>
    <xf numFmtId="0" fontId="26" fillId="10" borderId="33" xfId="7" applyFont="1" applyFill="1" applyBorder="1" applyProtection="1">
      <protection hidden="1"/>
    </xf>
    <xf numFmtId="0" fontId="26" fillId="10" borderId="0" xfId="7" applyFont="1" applyFill="1" applyProtection="1">
      <protection hidden="1"/>
    </xf>
    <xf numFmtId="0" fontId="26" fillId="10" borderId="0" xfId="0" applyFont="1" applyFill="1" applyProtection="1">
      <protection hidden="1"/>
    </xf>
    <xf numFmtId="6" fontId="26" fillId="10" borderId="0" xfId="0" applyNumberFormat="1" applyFont="1" applyFill="1" applyAlignment="1" applyProtection="1">
      <alignment horizontal="left"/>
      <protection hidden="1"/>
    </xf>
    <xf numFmtId="0" fontId="47" fillId="10" borderId="0" xfId="7" applyFont="1" applyFill="1" applyProtection="1">
      <protection hidden="1"/>
    </xf>
    <xf numFmtId="0" fontId="0" fillId="10" borderId="0" xfId="0" applyFill="1" applyProtection="1">
      <protection hidden="1"/>
    </xf>
    <xf numFmtId="0" fontId="0" fillId="10" borderId="28" xfId="0" applyFill="1" applyBorder="1" applyProtection="1">
      <protection hidden="1"/>
    </xf>
    <xf numFmtId="0" fontId="26" fillId="10" borderId="0" xfId="0" applyFont="1" applyFill="1" applyAlignment="1" applyProtection="1">
      <alignment horizontal="left"/>
      <protection hidden="1"/>
    </xf>
    <xf numFmtId="6" fontId="26" fillId="10" borderId="0" xfId="1" applyNumberFormat="1" applyFont="1" applyFill="1" applyBorder="1" applyAlignment="1" applyProtection="1">
      <protection hidden="1"/>
    </xf>
    <xf numFmtId="0" fontId="26" fillId="10" borderId="0" xfId="0" applyFont="1" applyFill="1" applyAlignment="1" applyProtection="1">
      <alignment vertical="top"/>
      <protection hidden="1"/>
    </xf>
    <xf numFmtId="0" fontId="25" fillId="10" borderId="0" xfId="0" applyFont="1" applyFill="1" applyAlignment="1" applyProtection="1">
      <alignment horizontal="right" vertical="center"/>
      <protection hidden="1"/>
    </xf>
    <xf numFmtId="0" fontId="25" fillId="10" borderId="0" xfId="0" applyFont="1" applyFill="1" applyProtection="1">
      <protection hidden="1"/>
    </xf>
    <xf numFmtId="44" fontId="26" fillId="10" borderId="0" xfId="1" applyFont="1" applyFill="1" applyBorder="1" applyProtection="1">
      <protection hidden="1"/>
    </xf>
    <xf numFmtId="0" fontId="25" fillId="10" borderId="0" xfId="7" applyFont="1" applyFill="1" applyProtection="1">
      <protection hidden="1"/>
    </xf>
    <xf numFmtId="0" fontId="26" fillId="10" borderId="67" xfId="7" applyFont="1" applyFill="1" applyBorder="1" applyProtection="1">
      <protection hidden="1"/>
    </xf>
    <xf numFmtId="0" fontId="26" fillId="10" borderId="47" xfId="7" applyFont="1" applyFill="1" applyBorder="1" applyProtection="1">
      <protection hidden="1"/>
    </xf>
    <xf numFmtId="44" fontId="26" fillId="10" borderId="47" xfId="1" applyFont="1" applyFill="1" applyBorder="1" applyProtection="1">
      <protection hidden="1"/>
    </xf>
    <xf numFmtId="0" fontId="25" fillId="10" borderId="47" xfId="7" applyFont="1" applyFill="1" applyBorder="1" applyAlignment="1" applyProtection="1">
      <alignment horizontal="right" vertical="center"/>
      <protection hidden="1"/>
    </xf>
    <xf numFmtId="0" fontId="41" fillId="10" borderId="29" xfId="7" applyFont="1" applyFill="1" applyBorder="1" applyProtection="1">
      <protection hidden="1"/>
    </xf>
    <xf numFmtId="0" fontId="41" fillId="10" borderId="31" xfId="7" applyFont="1" applyFill="1" applyBorder="1" applyProtection="1">
      <protection hidden="1"/>
    </xf>
    <xf numFmtId="0" fontId="44" fillId="10" borderId="31" xfId="7" applyFont="1" applyFill="1" applyBorder="1" applyProtection="1">
      <protection hidden="1"/>
    </xf>
    <xf numFmtId="0" fontId="18" fillId="10" borderId="31" xfId="0" applyFont="1" applyFill="1" applyBorder="1" applyProtection="1">
      <protection hidden="1"/>
    </xf>
    <xf numFmtId="0" fontId="18" fillId="10" borderId="32" xfId="0" applyFont="1" applyFill="1" applyBorder="1" applyProtection="1">
      <protection hidden="1"/>
    </xf>
    <xf numFmtId="0" fontId="43" fillId="10" borderId="33" xfId="7" applyFont="1" applyFill="1" applyBorder="1" applyAlignment="1" applyProtection="1">
      <alignment horizontal="justify" vertical="top"/>
      <protection hidden="1"/>
    </xf>
    <xf numFmtId="0" fontId="43" fillId="10" borderId="0" xfId="7" applyFont="1" applyFill="1" applyAlignment="1" applyProtection="1">
      <alignment horizontal="justify" vertical="top"/>
      <protection hidden="1"/>
    </xf>
    <xf numFmtId="0" fontId="43" fillId="10" borderId="28" xfId="7" applyFont="1" applyFill="1" applyBorder="1" applyAlignment="1" applyProtection="1">
      <alignment horizontal="justify" vertical="top"/>
      <protection hidden="1"/>
    </xf>
    <xf numFmtId="0" fontId="43" fillId="10" borderId="67" xfId="7" applyFont="1" applyFill="1" applyBorder="1" applyAlignment="1" applyProtection="1">
      <alignment horizontal="justify" vertical="top"/>
      <protection hidden="1"/>
    </xf>
    <xf numFmtId="0" fontId="43" fillId="10" borderId="47" xfId="7" applyFont="1" applyFill="1" applyBorder="1" applyAlignment="1" applyProtection="1">
      <alignment horizontal="justify" vertical="top"/>
      <protection hidden="1"/>
    </xf>
    <xf numFmtId="0" fontId="43" fillId="10" borderId="68" xfId="7" applyFont="1" applyFill="1" applyBorder="1" applyAlignment="1" applyProtection="1">
      <alignment horizontal="justify" vertical="top"/>
      <protection hidden="1"/>
    </xf>
    <xf numFmtId="0" fontId="43" fillId="10" borderId="31" xfId="7" applyFont="1" applyFill="1" applyBorder="1" applyProtection="1">
      <protection hidden="1"/>
    </xf>
    <xf numFmtId="0" fontId="0" fillId="6" borderId="67" xfId="0" applyFill="1" applyBorder="1"/>
    <xf numFmtId="0" fontId="0" fillId="6" borderId="47" xfId="0" applyFill="1" applyBorder="1"/>
    <xf numFmtId="0" fontId="0" fillId="6" borderId="68" xfId="0" applyFill="1" applyBorder="1"/>
    <xf numFmtId="0" fontId="28" fillId="0" borderId="0" xfId="5" applyFont="1" applyProtection="1">
      <protection hidden="1"/>
    </xf>
    <xf numFmtId="0" fontId="26" fillId="9" borderId="69" xfId="5" applyFont="1" applyFill="1" applyBorder="1" applyAlignment="1" applyProtection="1">
      <alignment horizontal="left" vertical="center"/>
      <protection locked="0"/>
    </xf>
    <xf numFmtId="1" fontId="15" fillId="5" borderId="8" xfId="5" applyNumberFormat="1" applyFont="1" applyFill="1" applyBorder="1" applyAlignment="1">
      <alignment vertical="center"/>
    </xf>
    <xf numFmtId="0" fontId="13" fillId="5" borderId="8" xfId="5" applyFont="1" applyFill="1" applyBorder="1" applyAlignment="1">
      <alignment horizontal="center" vertical="center"/>
    </xf>
    <xf numFmtId="1" fontId="13" fillId="5" borderId="7" xfId="5" applyNumberFormat="1" applyFont="1" applyFill="1" applyBorder="1" applyAlignment="1">
      <alignment horizontal="center" vertical="center"/>
    </xf>
    <xf numFmtId="1" fontId="8" fillId="4" borderId="4" xfId="5" applyNumberFormat="1" applyFont="1" applyFill="1" applyBorder="1" applyAlignment="1">
      <alignment horizontal="right" vertical="center"/>
    </xf>
    <xf numFmtId="164" fontId="10" fillId="0" borderId="6" xfId="5" applyNumberFormat="1" applyFont="1" applyBorder="1" applyAlignment="1">
      <alignment horizontal="right"/>
    </xf>
    <xf numFmtId="164" fontId="10" fillId="0" borderId="6" xfId="5" applyNumberFormat="1" applyFont="1" applyBorder="1" applyAlignment="1">
      <alignment horizontal="left"/>
    </xf>
    <xf numFmtId="1" fontId="54" fillId="0" borderId="3" xfId="5" applyNumberFormat="1" applyFont="1" applyBorder="1" applyAlignment="1">
      <alignment horizontal="right" vertical="center"/>
    </xf>
    <xf numFmtId="1" fontId="55" fillId="0" borderId="0" xfId="5" applyNumberFormat="1" applyFont="1" applyAlignment="1">
      <alignment horizontal="right" vertical="center"/>
    </xf>
    <xf numFmtId="1" fontId="55" fillId="0" borderId="9" xfId="5" applyNumberFormat="1" applyFont="1" applyBorder="1" applyAlignment="1">
      <alignment horizontal="right" vertical="center"/>
    </xf>
    <xf numFmtId="0" fontId="25" fillId="0" borderId="0" xfId="5" applyFont="1" applyAlignment="1" applyProtection="1">
      <alignment horizontal="left" vertical="center"/>
      <protection hidden="1"/>
    </xf>
    <xf numFmtId="4" fontId="29" fillId="9" borderId="69" xfId="2" applyNumberFormat="1" applyFont="1" applyFill="1" applyBorder="1" applyAlignment="1" applyProtection="1">
      <alignment horizontal="left" vertical="center"/>
      <protection locked="0"/>
    </xf>
    <xf numFmtId="0" fontId="26" fillId="8" borderId="77" xfId="5" applyFont="1" applyFill="1" applyBorder="1" applyAlignment="1" applyProtection="1">
      <alignment horizontal="left" vertical="center"/>
      <protection hidden="1"/>
    </xf>
    <xf numFmtId="0" fontId="26" fillId="8" borderId="74" xfId="5" applyFont="1" applyFill="1" applyBorder="1" applyAlignment="1" applyProtection="1">
      <alignment horizontal="left" vertical="center"/>
      <protection hidden="1"/>
    </xf>
    <xf numFmtId="167" fontId="26" fillId="8" borderId="74" xfId="5" applyNumberFormat="1" applyFont="1" applyFill="1" applyBorder="1" applyAlignment="1" applyProtection="1">
      <alignment horizontal="left" vertical="center"/>
      <protection hidden="1"/>
    </xf>
    <xf numFmtId="170" fontId="26" fillId="8" borderId="74" xfId="5" applyNumberFormat="1" applyFont="1" applyFill="1" applyBorder="1" applyAlignment="1" applyProtection="1">
      <alignment horizontal="center" vertical="center"/>
      <protection hidden="1"/>
    </xf>
    <xf numFmtId="167" fontId="26" fillId="8" borderId="80" xfId="5" applyNumberFormat="1" applyFont="1" applyFill="1" applyBorder="1" applyAlignment="1" applyProtection="1">
      <alignment horizontal="left" vertical="center"/>
      <protection hidden="1"/>
    </xf>
    <xf numFmtId="44" fontId="20" fillId="0" borderId="0" xfId="5" applyNumberFormat="1" applyFont="1" applyAlignment="1" applyProtection="1">
      <alignment horizontal="right" vertical="center"/>
      <protection hidden="1"/>
    </xf>
    <xf numFmtId="3" fontId="47" fillId="0" borderId="0" xfId="5" applyNumberFormat="1" applyFont="1" applyAlignment="1" applyProtection="1">
      <alignment horizontal="left" vertical="center"/>
      <protection hidden="1"/>
    </xf>
    <xf numFmtId="0" fontId="47" fillId="0" borderId="0" xfId="5" applyFont="1" applyAlignment="1" applyProtection="1">
      <alignment horizontal="left" vertical="center"/>
      <protection hidden="1"/>
    </xf>
    <xf numFmtId="3" fontId="53" fillId="0" borderId="0" xfId="5" applyNumberFormat="1" applyFont="1" applyAlignment="1" applyProtection="1">
      <alignment horizontal="left" vertical="center"/>
      <protection hidden="1"/>
    </xf>
    <xf numFmtId="0" fontId="64" fillId="0" borderId="0" xfId="5" applyFont="1" applyProtection="1">
      <protection hidden="1"/>
    </xf>
    <xf numFmtId="3" fontId="64" fillId="0" borderId="0" xfId="5" applyNumberFormat="1" applyFont="1" applyAlignment="1" applyProtection="1">
      <alignment horizontal="left"/>
      <protection hidden="1"/>
    </xf>
    <xf numFmtId="0" fontId="26" fillId="8" borderId="97" xfId="5" applyFont="1" applyFill="1" applyBorder="1" applyAlignment="1" applyProtection="1">
      <alignment horizontal="left" vertical="center"/>
      <protection hidden="1"/>
    </xf>
    <xf numFmtId="0" fontId="26" fillId="8" borderId="98" xfId="5" applyFont="1" applyFill="1" applyBorder="1" applyAlignment="1" applyProtection="1">
      <alignment horizontal="left" vertical="center"/>
      <protection hidden="1"/>
    </xf>
    <xf numFmtId="167" fontId="26" fillId="8" borderId="98" xfId="5" applyNumberFormat="1" applyFont="1" applyFill="1" applyBorder="1" applyAlignment="1" applyProtection="1">
      <alignment horizontal="left" vertical="center"/>
      <protection hidden="1"/>
    </xf>
    <xf numFmtId="0" fontId="26" fillId="8" borderId="99" xfId="5" applyFont="1" applyFill="1" applyBorder="1" applyAlignment="1" applyProtection="1">
      <alignment horizontal="left" vertical="center"/>
      <protection hidden="1"/>
    </xf>
    <xf numFmtId="0" fontId="26" fillId="8" borderId="100" xfId="5" applyFont="1" applyFill="1" applyBorder="1" applyAlignment="1" applyProtection="1">
      <alignment horizontal="left" vertical="center"/>
      <protection hidden="1"/>
    </xf>
    <xf numFmtId="0" fontId="20" fillId="0" borderId="101" xfId="5" applyFont="1" applyBorder="1" applyProtection="1">
      <protection hidden="1"/>
    </xf>
    <xf numFmtId="0" fontId="20" fillId="0" borderId="0" xfId="5" applyFont="1" applyAlignment="1" applyProtection="1">
      <alignment horizontal="left"/>
      <protection hidden="1"/>
    </xf>
    <xf numFmtId="0" fontId="26" fillId="0" borderId="0" xfId="5" applyFont="1" applyAlignment="1" applyProtection="1">
      <alignment horizontal="center" vertical="center"/>
      <protection hidden="1"/>
    </xf>
    <xf numFmtId="0" fontId="28" fillId="0" borderId="102" xfId="5" applyFont="1" applyBorder="1" applyAlignment="1" applyProtection="1">
      <alignment horizontal="center" vertical="center"/>
      <protection hidden="1"/>
    </xf>
    <xf numFmtId="0" fontId="26" fillId="0" borderId="101" xfId="5" applyFont="1" applyBorder="1" applyAlignment="1" applyProtection="1">
      <alignment horizontal="center" vertical="center"/>
      <protection hidden="1"/>
    </xf>
    <xf numFmtId="8" fontId="20" fillId="0" borderId="102" xfId="5" applyNumberFormat="1" applyFont="1" applyBorder="1" applyAlignment="1" applyProtection="1">
      <alignment horizontal="right" vertical="center"/>
      <protection hidden="1"/>
    </xf>
    <xf numFmtId="186" fontId="31" fillId="0" borderId="102" xfId="5" applyNumberFormat="1" applyFont="1" applyBorder="1" applyAlignment="1" applyProtection="1">
      <alignment horizontal="right" vertical="center"/>
      <protection hidden="1"/>
    </xf>
    <xf numFmtId="0" fontId="20" fillId="0" borderId="102" xfId="5" applyFont="1" applyBorder="1" applyProtection="1">
      <protection hidden="1"/>
    </xf>
    <xf numFmtId="0" fontId="48" fillId="0" borderId="101" xfId="5" applyFont="1" applyBorder="1" applyProtection="1">
      <protection hidden="1"/>
    </xf>
    <xf numFmtId="0" fontId="25" fillId="0" borderId="0" xfId="5" applyFont="1" applyAlignment="1" applyProtection="1">
      <alignment horizontal="center" vertical="center"/>
      <protection hidden="1"/>
    </xf>
    <xf numFmtId="0" fontId="47" fillId="0" borderId="0" xfId="5" applyFont="1" applyProtection="1">
      <protection hidden="1"/>
    </xf>
    <xf numFmtId="6" fontId="25" fillId="9" borderId="69" xfId="5" applyNumberFormat="1" applyFont="1" applyFill="1" applyBorder="1" applyAlignment="1" applyProtection="1">
      <alignment horizontal="left" vertical="center"/>
      <protection locked="0"/>
    </xf>
    <xf numFmtId="3" fontId="47" fillId="0" borderId="0" xfId="5" applyNumberFormat="1" applyFont="1" applyAlignment="1" applyProtection="1">
      <alignment horizontal="left"/>
      <protection hidden="1"/>
    </xf>
    <xf numFmtId="3" fontId="53" fillId="0" borderId="0" xfId="5" applyNumberFormat="1" applyFont="1" applyAlignment="1" applyProtection="1">
      <alignment horizontal="left"/>
      <protection hidden="1"/>
    </xf>
    <xf numFmtId="0" fontId="60" fillId="0" borderId="0" xfId="5" applyFont="1" applyProtection="1">
      <protection hidden="1"/>
    </xf>
    <xf numFmtId="0" fontId="53" fillId="0" borderId="0" xfId="5" applyFont="1" applyAlignment="1" applyProtection="1">
      <alignment horizontal="right" vertical="center"/>
      <protection hidden="1"/>
    </xf>
    <xf numFmtId="0" fontId="53" fillId="0" borderId="0" xfId="5" applyFont="1" applyAlignment="1" applyProtection="1">
      <alignment horizontal="left" vertical="center"/>
      <protection hidden="1"/>
    </xf>
    <xf numFmtId="0" fontId="47" fillId="0" borderId="0" xfId="5" applyFont="1" applyAlignment="1" applyProtection="1">
      <alignment horizontal="right" vertical="center"/>
      <protection hidden="1"/>
    </xf>
    <xf numFmtId="4" fontId="20" fillId="0" borderId="0" xfId="5" applyNumberFormat="1" applyFont="1" applyProtection="1">
      <protection hidden="1"/>
    </xf>
    <xf numFmtId="4" fontId="47" fillId="0" borderId="0" xfId="5" applyNumberFormat="1" applyFont="1" applyAlignment="1" applyProtection="1">
      <alignment horizontal="left"/>
      <protection hidden="1"/>
    </xf>
    <xf numFmtId="0" fontId="53" fillId="0" borderId="0" xfId="5" applyFont="1" applyProtection="1">
      <protection hidden="1"/>
    </xf>
    <xf numFmtId="3" fontId="47" fillId="0" borderId="0" xfId="5" applyNumberFormat="1" applyFont="1" applyAlignment="1" applyProtection="1">
      <alignment horizontal="right" vertical="center"/>
      <protection hidden="1"/>
    </xf>
    <xf numFmtId="193" fontId="47" fillId="0" borderId="0" xfId="5" applyNumberFormat="1" applyFont="1" applyAlignment="1" applyProtection="1">
      <alignment horizontal="left"/>
      <protection hidden="1"/>
    </xf>
    <xf numFmtId="6" fontId="20" fillId="0" borderId="0" xfId="5" applyNumberFormat="1" applyFont="1" applyProtection="1">
      <protection hidden="1"/>
    </xf>
    <xf numFmtId="167" fontId="26" fillId="8" borderId="120" xfId="5" applyNumberFormat="1" applyFont="1" applyFill="1" applyBorder="1" applyAlignment="1" applyProtection="1">
      <alignment horizontal="left" vertical="center"/>
      <protection hidden="1"/>
    </xf>
    <xf numFmtId="3" fontId="65" fillId="0" borderId="0" xfId="5" applyNumberFormat="1" applyFont="1" applyAlignment="1" applyProtection="1">
      <alignment horizontal="left"/>
      <protection hidden="1"/>
    </xf>
    <xf numFmtId="0" fontId="65" fillId="0" borderId="0" xfId="5" applyFont="1" applyProtection="1">
      <protection hidden="1"/>
    </xf>
    <xf numFmtId="0" fontId="16" fillId="0" borderId="0" xfId="5" applyFont="1" applyAlignment="1" applyProtection="1">
      <alignment horizontal="left" vertical="center"/>
      <protection hidden="1"/>
    </xf>
    <xf numFmtId="0" fontId="47" fillId="0" borderId="0" xfId="5" applyFont="1" applyAlignment="1" applyProtection="1">
      <alignment horizontal="left"/>
      <protection hidden="1"/>
    </xf>
    <xf numFmtId="0" fontId="64" fillId="0" borderId="0" xfId="5" applyFont="1" applyAlignment="1" applyProtection="1">
      <alignment horizontal="left"/>
      <protection hidden="1"/>
    </xf>
    <xf numFmtId="0" fontId="65" fillId="0" borderId="0" xfId="5" applyFont="1" applyAlignment="1" applyProtection="1">
      <alignment horizontal="left"/>
      <protection hidden="1"/>
    </xf>
    <xf numFmtId="0" fontId="60" fillId="0" borderId="0" xfId="5" applyFont="1" applyAlignment="1" applyProtection="1">
      <alignment horizontal="left"/>
      <protection hidden="1"/>
    </xf>
    <xf numFmtId="3" fontId="62" fillId="0" borderId="0" xfId="5" applyNumberFormat="1" applyFont="1" applyAlignment="1" applyProtection="1">
      <alignment horizontal="left" vertical="center"/>
      <protection hidden="1"/>
    </xf>
    <xf numFmtId="3" fontId="61" fillId="0" borderId="0" xfId="5" applyNumberFormat="1" applyFont="1" applyAlignment="1" applyProtection="1">
      <alignment horizontal="left" vertical="center"/>
      <protection hidden="1"/>
    </xf>
    <xf numFmtId="0" fontId="30" fillId="0" borderId="0" xfId="5" applyFont="1" applyAlignment="1" applyProtection="1">
      <alignment horizontal="left"/>
      <protection hidden="1"/>
    </xf>
    <xf numFmtId="6" fontId="25" fillId="10" borderId="66" xfId="5" applyNumberFormat="1" applyFont="1" applyFill="1" applyBorder="1" applyAlignment="1" applyProtection="1">
      <alignment horizontal="left" vertical="center"/>
      <protection hidden="1"/>
    </xf>
    <xf numFmtId="0" fontId="31" fillId="0" borderId="87" xfId="0" applyFont="1" applyBorder="1" applyAlignment="1" applyProtection="1">
      <alignment horizontal="right" vertical="center"/>
      <protection hidden="1"/>
    </xf>
    <xf numFmtId="0" fontId="31" fillId="0" borderId="88" xfId="0" applyFont="1" applyBorder="1" applyAlignment="1" applyProtection="1">
      <alignment horizontal="right" vertical="center"/>
      <protection hidden="1"/>
    </xf>
    <xf numFmtId="0" fontId="31" fillId="0" borderId="89" xfId="0" applyFont="1" applyBorder="1" applyAlignment="1" applyProtection="1">
      <alignment horizontal="right" vertical="center"/>
      <protection hidden="1"/>
    </xf>
    <xf numFmtId="0" fontId="0" fillId="0" borderId="31" xfId="0" applyBorder="1" applyProtection="1">
      <protection hidden="1"/>
    </xf>
    <xf numFmtId="167" fontId="26" fillId="8" borderId="147" xfId="5" applyNumberFormat="1" applyFont="1" applyFill="1" applyBorder="1" applyAlignment="1" applyProtection="1">
      <alignment horizontal="left" vertical="center"/>
      <protection hidden="1"/>
    </xf>
    <xf numFmtId="0" fontId="0" fillId="0" borderId="148" xfId="0" applyBorder="1" applyProtection="1">
      <protection hidden="1"/>
    </xf>
    <xf numFmtId="7" fontId="31" fillId="10" borderId="149" xfId="11" applyNumberFormat="1" applyFont="1" applyFill="1" applyBorder="1" applyAlignment="1" applyProtection="1">
      <alignment horizontal="right" vertical="center"/>
      <protection hidden="1"/>
    </xf>
    <xf numFmtId="0" fontId="22" fillId="0" borderId="0" xfId="5" applyFont="1" applyAlignment="1" applyProtection="1">
      <alignment vertical="center"/>
      <protection hidden="1"/>
    </xf>
    <xf numFmtId="0" fontId="25" fillId="0" borderId="0" xfId="5" applyFont="1" applyAlignment="1" applyProtection="1">
      <alignment vertical="center"/>
      <protection hidden="1"/>
    </xf>
    <xf numFmtId="0" fontId="27" fillId="0" borderId="0" xfId="5" applyFont="1" applyAlignment="1" applyProtection="1">
      <alignment horizontal="left" vertical="center"/>
      <protection hidden="1"/>
    </xf>
    <xf numFmtId="0" fontId="25" fillId="0" borderId="0" xfId="5" applyFont="1" applyAlignment="1" applyProtection="1">
      <alignment horizontal="right" vertical="center"/>
      <protection hidden="1"/>
    </xf>
    <xf numFmtId="0" fontId="26" fillId="0" borderId="0" xfId="5" applyFont="1" applyAlignment="1" applyProtection="1">
      <alignment horizontal="left" vertical="center"/>
      <protection hidden="1"/>
    </xf>
    <xf numFmtId="0" fontId="28" fillId="0" borderId="0" xfId="5" applyFont="1" applyAlignment="1" applyProtection="1">
      <alignment horizontal="center" vertical="center"/>
      <protection hidden="1"/>
    </xf>
    <xf numFmtId="0" fontId="26" fillId="0" borderId="0" xfId="5" applyFont="1" applyAlignment="1" applyProtection="1">
      <alignment horizontal="right" vertical="center"/>
      <protection hidden="1"/>
    </xf>
    <xf numFmtId="0" fontId="50" fillId="0" borderId="0" xfId="5" applyFont="1" applyAlignment="1" applyProtection="1">
      <alignment horizontal="left" vertical="center"/>
      <protection hidden="1"/>
    </xf>
    <xf numFmtId="0" fontId="50" fillId="0" borderId="0" xfId="5" applyFont="1" applyAlignment="1" applyProtection="1">
      <alignment horizontal="right" vertical="center"/>
      <protection hidden="1"/>
    </xf>
    <xf numFmtId="0" fontId="0" fillId="0" borderId="0" xfId="0" applyAlignment="1" applyProtection="1">
      <alignment vertical="center"/>
      <protection hidden="1"/>
    </xf>
    <xf numFmtId="0" fontId="23" fillId="0" borderId="0" xfId="5" applyFont="1" applyAlignment="1" applyProtection="1">
      <alignment horizontal="left" vertical="center"/>
      <protection hidden="1"/>
    </xf>
    <xf numFmtId="0" fontId="20" fillId="0" borderId="0" xfId="5" applyFont="1" applyAlignment="1" applyProtection="1">
      <alignment horizontal="right" vertical="center"/>
      <protection hidden="1"/>
    </xf>
    <xf numFmtId="8" fontId="20" fillId="0" borderId="0" xfId="5" applyNumberFormat="1" applyFont="1" applyAlignment="1" applyProtection="1">
      <alignment horizontal="right" vertical="center"/>
      <protection hidden="1"/>
    </xf>
    <xf numFmtId="0" fontId="31" fillId="0" borderId="0" xfId="0" applyFont="1" applyAlignment="1" applyProtection="1">
      <alignment vertical="center"/>
      <protection hidden="1"/>
    </xf>
    <xf numFmtId="0" fontId="18" fillId="0" borderId="0" xfId="0" applyFont="1"/>
    <xf numFmtId="0" fontId="18" fillId="0" borderId="0" xfId="0" applyFont="1" applyAlignment="1">
      <alignment horizontal="center"/>
    </xf>
    <xf numFmtId="0" fontId="18" fillId="0" borderId="0" xfId="0" applyFont="1" applyProtection="1">
      <protection hidden="1"/>
    </xf>
    <xf numFmtId="0" fontId="18" fillId="0" borderId="0" xfId="0" applyFont="1" applyAlignment="1" applyProtection="1">
      <alignment horizontal="center" vertical="center"/>
      <protection hidden="1"/>
    </xf>
    <xf numFmtId="0" fontId="0" fillId="0" borderId="0" xfId="0" applyProtection="1">
      <protection hidden="1"/>
    </xf>
    <xf numFmtId="0" fontId="31" fillId="0" borderId="0" xfId="5" applyFont="1" applyAlignment="1" applyProtection="1">
      <alignment horizontal="right" vertical="center"/>
      <protection hidden="1"/>
    </xf>
    <xf numFmtId="186" fontId="31" fillId="0" borderId="0" xfId="5" applyNumberFormat="1" applyFont="1" applyAlignment="1" applyProtection="1">
      <alignment horizontal="right" vertical="center"/>
      <protection hidden="1"/>
    </xf>
    <xf numFmtId="0" fontId="25" fillId="0" borderId="0" xfId="0" applyFont="1" applyAlignment="1" applyProtection="1">
      <alignment horizontal="left" vertical="center"/>
      <protection hidden="1"/>
    </xf>
    <xf numFmtId="4" fontId="31" fillId="0" borderId="0" xfId="5" applyNumberFormat="1" applyFont="1" applyAlignment="1" applyProtection="1">
      <alignment horizontal="right" vertical="center"/>
      <protection hidden="1"/>
    </xf>
    <xf numFmtId="0" fontId="25" fillId="0" borderId="0" xfId="5" quotePrefix="1" applyFont="1" applyAlignment="1" applyProtection="1">
      <alignment horizontal="left" vertical="center"/>
      <protection hidden="1"/>
    </xf>
    <xf numFmtId="177" fontId="26" fillId="0" borderId="0" xfId="0" applyNumberFormat="1" applyFont="1" applyAlignment="1" applyProtection="1">
      <alignment horizontal="left" vertical="center"/>
      <protection hidden="1"/>
    </xf>
    <xf numFmtId="0" fontId="26" fillId="0" borderId="0" xfId="5" applyFont="1" applyProtection="1">
      <protection hidden="1"/>
    </xf>
    <xf numFmtId="174" fontId="26" fillId="0" borderId="0" xfId="0" applyNumberFormat="1" applyFont="1" applyAlignment="1" applyProtection="1">
      <alignment horizontal="left" vertical="center"/>
      <protection hidden="1"/>
    </xf>
    <xf numFmtId="0" fontId="20" fillId="16" borderId="0" xfId="5" applyFont="1" applyFill="1" applyProtection="1">
      <protection hidden="1"/>
    </xf>
    <xf numFmtId="0" fontId="31" fillId="16" borderId="0" xfId="5" applyFont="1" applyFill="1" applyAlignment="1" applyProtection="1">
      <alignment horizontal="right" vertical="center"/>
      <protection hidden="1"/>
    </xf>
    <xf numFmtId="192" fontId="25" fillId="10" borderId="0" xfId="5" applyNumberFormat="1" applyFont="1" applyFill="1" applyAlignment="1" applyProtection="1">
      <alignment horizontal="left" vertical="center"/>
      <protection hidden="1"/>
    </xf>
    <xf numFmtId="0" fontId="4" fillId="10" borderId="0" xfId="0" applyFont="1" applyFill="1" applyAlignment="1" applyProtection="1">
      <alignment horizontal="left" vertical="center"/>
      <protection hidden="1"/>
    </xf>
    <xf numFmtId="0" fontId="25" fillId="10" borderId="0" xfId="5" applyFont="1" applyFill="1" applyAlignment="1" applyProtection="1">
      <alignment horizontal="right" vertical="center"/>
      <protection hidden="1"/>
    </xf>
    <xf numFmtId="0" fontId="62" fillId="0" borderId="0" xfId="5" applyFont="1" applyProtection="1">
      <protection hidden="1"/>
    </xf>
    <xf numFmtId="0" fontId="62" fillId="0" borderId="0" xfId="5" applyFont="1" applyAlignment="1" applyProtection="1">
      <alignment horizontal="left"/>
      <protection hidden="1"/>
    </xf>
    <xf numFmtId="0" fontId="47" fillId="0" borderId="0" xfId="5" applyFont="1" applyAlignment="1" applyProtection="1">
      <alignment vertical="center"/>
      <protection hidden="1"/>
    </xf>
    <xf numFmtId="0" fontId="22" fillId="0" borderId="0" xfId="5" applyFont="1" applyProtection="1">
      <protection hidden="1"/>
    </xf>
    <xf numFmtId="3" fontId="22" fillId="0" borderId="0" xfId="5" applyNumberFormat="1" applyFont="1" applyAlignment="1" applyProtection="1">
      <alignment horizontal="left" vertical="center"/>
      <protection hidden="1"/>
    </xf>
    <xf numFmtId="0" fontId="22" fillId="0" borderId="0" xfId="5" applyFont="1" applyAlignment="1" applyProtection="1">
      <alignment horizontal="left"/>
      <protection hidden="1"/>
    </xf>
    <xf numFmtId="8" fontId="31" fillId="9" borderId="69" xfId="5" applyNumberFormat="1" applyFont="1" applyFill="1" applyBorder="1" applyAlignment="1" applyProtection="1">
      <alignment horizontal="right" vertical="center"/>
      <protection locked="0"/>
    </xf>
    <xf numFmtId="6" fontId="25" fillId="9" borderId="123" xfId="5" applyNumberFormat="1" applyFont="1" applyFill="1" applyBorder="1" applyAlignment="1" applyProtection="1">
      <alignment horizontal="left" vertical="center"/>
      <protection locked="0"/>
    </xf>
    <xf numFmtId="6" fontId="25" fillId="9" borderId="122" xfId="5" applyNumberFormat="1" applyFont="1" applyFill="1" applyBorder="1" applyAlignment="1" applyProtection="1">
      <alignment horizontal="left" vertical="center"/>
      <protection locked="0"/>
    </xf>
    <xf numFmtId="4" fontId="69" fillId="7" borderId="131" xfId="5" applyNumberFormat="1" applyFont="1" applyFill="1" applyBorder="1" applyAlignment="1">
      <alignment horizontal="left" vertical="center"/>
    </xf>
    <xf numFmtId="4" fontId="69" fillId="7" borderId="60" xfId="5" applyNumberFormat="1" applyFont="1" applyFill="1" applyBorder="1" applyAlignment="1">
      <alignment horizontal="left" vertical="center"/>
    </xf>
    <xf numFmtId="4" fontId="69" fillId="7" borderId="136" xfId="5" applyNumberFormat="1" applyFont="1" applyFill="1" applyBorder="1" applyAlignment="1">
      <alignment horizontal="right" vertical="center"/>
    </xf>
    <xf numFmtId="4" fontId="69" fillId="7" borderId="60" xfId="0" applyNumberFormat="1" applyFont="1" applyFill="1" applyBorder="1" applyAlignment="1">
      <alignment horizontal="right" vertical="center"/>
    </xf>
    <xf numFmtId="4" fontId="69" fillId="7" borderId="139" xfId="5" applyNumberFormat="1" applyFont="1" applyFill="1" applyBorder="1" applyAlignment="1">
      <alignment horizontal="right" vertical="center"/>
    </xf>
    <xf numFmtId="4" fontId="69" fillId="12" borderId="131" xfId="5" applyNumberFormat="1" applyFont="1" applyFill="1" applyBorder="1" applyAlignment="1">
      <alignment horizontal="left" vertical="center"/>
    </xf>
    <xf numFmtId="4" fontId="69" fillId="12" borderId="60" xfId="5" applyNumberFormat="1" applyFont="1" applyFill="1" applyBorder="1" applyAlignment="1">
      <alignment horizontal="left" vertical="center"/>
    </xf>
    <xf numFmtId="4" fontId="69" fillId="12" borderId="136" xfId="5" applyNumberFormat="1" applyFont="1" applyFill="1" applyBorder="1" applyAlignment="1">
      <alignment horizontal="right" vertical="center"/>
    </xf>
    <xf numFmtId="4" fontId="69" fillId="12" borderId="60" xfId="0" applyNumberFormat="1" applyFont="1" applyFill="1" applyBorder="1" applyAlignment="1">
      <alignment horizontal="right" vertical="center"/>
    </xf>
    <xf numFmtId="4" fontId="69" fillId="12" borderId="139" xfId="5" applyNumberFormat="1" applyFont="1" applyFill="1" applyBorder="1" applyAlignment="1">
      <alignment horizontal="right" vertical="center"/>
    </xf>
    <xf numFmtId="4" fontId="69" fillId="11" borderId="132" xfId="5" applyNumberFormat="1" applyFont="1" applyFill="1" applyBorder="1" applyAlignment="1">
      <alignment horizontal="left" vertical="center"/>
    </xf>
    <xf numFmtId="4" fontId="69" fillId="11" borderId="44" xfId="5" applyNumberFormat="1" applyFont="1" applyFill="1" applyBorder="1" applyAlignment="1">
      <alignment horizontal="left" vertical="center"/>
    </xf>
    <xf numFmtId="4" fontId="69" fillId="11" borderId="45" xfId="5" applyNumberFormat="1" applyFont="1" applyFill="1" applyBorder="1" applyAlignment="1">
      <alignment horizontal="right" vertical="center"/>
    </xf>
    <xf numFmtId="0" fontId="69" fillId="11" borderId="44" xfId="5" applyFont="1" applyFill="1" applyBorder="1" applyAlignment="1">
      <alignment horizontal="right" vertical="center"/>
    </xf>
    <xf numFmtId="4" fontId="69" fillId="11" borderId="140" xfId="5" applyNumberFormat="1" applyFont="1" applyFill="1" applyBorder="1" applyAlignment="1">
      <alignment horizontal="right" vertical="center"/>
    </xf>
    <xf numFmtId="4" fontId="18" fillId="0" borderId="82" xfId="0" applyNumberFormat="1" applyFont="1" applyBorder="1" applyAlignment="1">
      <alignment horizontal="left" vertical="center"/>
    </xf>
    <xf numFmtId="4" fontId="18" fillId="0" borderId="83" xfId="0" applyNumberFormat="1" applyFont="1" applyBorder="1" applyAlignment="1">
      <alignment horizontal="left" vertical="center"/>
    </xf>
    <xf numFmtId="0" fontId="25" fillId="0" borderId="84" xfId="5" applyFont="1" applyBorder="1" applyAlignment="1">
      <alignment horizontal="left" vertical="center"/>
    </xf>
    <xf numFmtId="0" fontId="26" fillId="0" borderId="85" xfId="5" applyFont="1" applyBorder="1" applyAlignment="1">
      <alignment horizontal="left" vertical="center"/>
    </xf>
    <xf numFmtId="0" fontId="26" fillId="0" borderId="83" xfId="5" applyFont="1" applyBorder="1" applyAlignment="1">
      <alignment horizontal="left" vertical="center"/>
    </xf>
    <xf numFmtId="0" fontId="26" fillId="0" borderId="84" xfId="5" applyFont="1" applyBorder="1" applyAlignment="1">
      <alignment horizontal="left" vertical="center"/>
    </xf>
    <xf numFmtId="0" fontId="31" fillId="0" borderId="0" xfId="5" applyFont="1" applyAlignment="1">
      <alignment horizontal="right" vertical="center"/>
    </xf>
    <xf numFmtId="0" fontId="31" fillId="0" borderId="102" xfId="5" applyFont="1" applyBorder="1" applyAlignment="1">
      <alignment horizontal="right" vertical="center"/>
    </xf>
    <xf numFmtId="166" fontId="31" fillId="16" borderId="0" xfId="5" applyNumberFormat="1" applyFont="1" applyFill="1" applyAlignment="1">
      <alignment horizontal="right" vertical="center"/>
    </xf>
    <xf numFmtId="0" fontId="31" fillId="16" borderId="0" xfId="5" applyFont="1" applyFill="1" applyAlignment="1">
      <alignment horizontal="right" vertical="center"/>
    </xf>
    <xf numFmtId="0" fontId="31" fillId="16" borderId="102" xfId="5" applyFont="1" applyFill="1" applyBorder="1" applyAlignment="1">
      <alignment horizontal="right" vertical="center"/>
    </xf>
    <xf numFmtId="8" fontId="26" fillId="0" borderId="144" xfId="5" applyNumberFormat="1" applyFont="1" applyBorder="1" applyAlignment="1">
      <alignment horizontal="right" vertical="center"/>
    </xf>
    <xf numFmtId="7" fontId="26" fillId="0" borderId="145" xfId="5" applyNumberFormat="1" applyFont="1" applyBorder="1" applyAlignment="1">
      <alignment horizontal="right" vertical="center"/>
    </xf>
    <xf numFmtId="7" fontId="26" fillId="0" borderId="146" xfId="5" applyNumberFormat="1" applyFont="1" applyBorder="1" applyAlignment="1">
      <alignment horizontal="right" vertical="center"/>
    </xf>
    <xf numFmtId="8" fontId="26" fillId="0" borderId="147" xfId="5" applyNumberFormat="1" applyFont="1" applyBorder="1" applyAlignment="1">
      <alignment horizontal="right" vertical="center"/>
    </xf>
    <xf numFmtId="7" fontId="26" fillId="0" borderId="148" xfId="5" applyNumberFormat="1" applyFont="1" applyBorder="1" applyAlignment="1">
      <alignment horizontal="right" vertical="center"/>
    </xf>
    <xf numFmtId="7" fontId="26" fillId="0" borderId="149" xfId="5" applyNumberFormat="1" applyFont="1" applyBorder="1" applyAlignment="1">
      <alignment horizontal="right" vertical="center"/>
    </xf>
    <xf numFmtId="8" fontId="52" fillId="13" borderId="141" xfId="11" applyNumberFormat="1" applyFont="1" applyFill="1" applyBorder="1" applyAlignment="1" applyProtection="1">
      <alignment horizontal="right" vertical="center"/>
    </xf>
    <xf numFmtId="7" fontId="52" fillId="13" borderId="142" xfId="11" applyNumberFormat="1" applyFont="1" applyFill="1" applyBorder="1" applyAlignment="1" applyProtection="1">
      <alignment horizontal="right" vertical="center"/>
    </xf>
    <xf numFmtId="7" fontId="52" fillId="13" borderId="143" xfId="11" applyNumberFormat="1" applyFont="1" applyFill="1" applyBorder="1" applyAlignment="1" applyProtection="1">
      <alignment horizontal="right" vertical="center"/>
    </xf>
    <xf numFmtId="8" fontId="26" fillId="0" borderId="28" xfId="5" applyNumberFormat="1" applyFont="1" applyBorder="1" applyAlignment="1">
      <alignment horizontal="right" vertical="center"/>
    </xf>
    <xf numFmtId="168" fontId="26" fillId="8" borderId="100" xfId="5" applyNumberFormat="1" applyFont="1" applyFill="1" applyBorder="1" applyAlignment="1">
      <alignment horizontal="center" vertical="center"/>
    </xf>
    <xf numFmtId="167" fontId="26" fillId="8" borderId="75" xfId="5" applyNumberFormat="1" applyFont="1" applyFill="1" applyBorder="1" applyAlignment="1">
      <alignment horizontal="left" vertical="center"/>
    </xf>
    <xf numFmtId="170" fontId="26" fillId="8" borderId="74" xfId="5" applyNumberFormat="1" applyFont="1" applyFill="1" applyBorder="1" applyAlignment="1">
      <alignment horizontal="center" vertical="center"/>
    </xf>
    <xf numFmtId="167" fontId="26" fillId="8" borderId="74" xfId="5" applyNumberFormat="1" applyFont="1" applyFill="1" applyBorder="1" applyAlignment="1">
      <alignment horizontal="left" vertical="center"/>
    </xf>
    <xf numFmtId="171" fontId="26" fillId="8" borderId="74" xfId="5" applyNumberFormat="1" applyFont="1" applyFill="1" applyBorder="1" applyAlignment="1">
      <alignment horizontal="center" vertical="center"/>
    </xf>
    <xf numFmtId="173" fontId="26" fillId="8" borderId="74" xfId="5" applyNumberFormat="1" applyFont="1" applyFill="1" applyBorder="1" applyAlignment="1">
      <alignment horizontal="center" vertical="center"/>
    </xf>
    <xf numFmtId="189" fontId="26" fillId="8" borderId="98" xfId="5" applyNumberFormat="1" applyFont="1" applyFill="1" applyBorder="1" applyAlignment="1">
      <alignment horizontal="center" vertical="center"/>
    </xf>
    <xf numFmtId="167" fontId="26" fillId="8" borderId="80" xfId="5" applyNumberFormat="1" applyFont="1" applyFill="1" applyBorder="1" applyAlignment="1">
      <alignment horizontal="left" vertical="center"/>
    </xf>
    <xf numFmtId="167" fontId="50" fillId="8" borderId="159" xfId="5" applyNumberFormat="1" applyFont="1" applyFill="1" applyBorder="1" applyAlignment="1">
      <alignment horizontal="center" vertical="center"/>
    </xf>
    <xf numFmtId="167" fontId="50" fillId="8" borderId="160" xfId="5" applyNumberFormat="1" applyFont="1" applyFill="1" applyBorder="1" applyAlignment="1">
      <alignment horizontal="center" vertical="center"/>
    </xf>
    <xf numFmtId="167" fontId="50" fillId="8" borderId="161" xfId="5" applyNumberFormat="1" applyFont="1" applyFill="1" applyBorder="1" applyAlignment="1">
      <alignment horizontal="center" vertical="center"/>
    </xf>
    <xf numFmtId="167" fontId="25" fillId="8" borderId="100" xfId="5" applyNumberFormat="1" applyFont="1" applyFill="1" applyBorder="1" applyAlignment="1">
      <alignment horizontal="left" vertical="center"/>
    </xf>
    <xf numFmtId="167" fontId="66" fillId="8" borderId="159" xfId="5" applyNumberFormat="1" applyFont="1" applyFill="1" applyBorder="1" applyAlignment="1">
      <alignment horizontal="center" vertical="center"/>
    </xf>
    <xf numFmtId="167" fontId="66" fillId="8" borderId="160" xfId="5" applyNumberFormat="1" applyFont="1" applyFill="1" applyBorder="1" applyAlignment="1">
      <alignment horizontal="center" vertical="center"/>
    </xf>
    <xf numFmtId="167" fontId="66" fillId="8" borderId="161" xfId="5" applyNumberFormat="1" applyFont="1" applyFill="1" applyBorder="1" applyAlignment="1">
      <alignment horizontal="center" vertical="center"/>
    </xf>
    <xf numFmtId="0" fontId="24" fillId="17" borderId="133" xfId="3" applyFont="1" applyFill="1" applyBorder="1" applyAlignment="1" applyProtection="1">
      <alignment horizontal="left" vertical="center"/>
    </xf>
    <xf numFmtId="0" fontId="24" fillId="17" borderId="134" xfId="3" applyFont="1" applyFill="1" applyBorder="1" applyAlignment="1" applyProtection="1">
      <alignment horizontal="left" vertical="center"/>
    </xf>
    <xf numFmtId="0" fontId="24" fillId="17" borderId="135" xfId="3" applyFont="1" applyFill="1" applyBorder="1" applyAlignment="1" applyProtection="1">
      <alignment horizontal="left" vertical="center"/>
    </xf>
    <xf numFmtId="0" fontId="24" fillId="17" borderId="138" xfId="3" applyFont="1" applyFill="1" applyBorder="1" applyAlignment="1" applyProtection="1">
      <alignment horizontal="left" vertical="center"/>
    </xf>
    <xf numFmtId="0" fontId="3" fillId="3" borderId="111" xfId="3" applyBorder="1" applyAlignment="1" applyProtection="1">
      <alignment horizontal="left" vertical="center"/>
    </xf>
    <xf numFmtId="0" fontId="3" fillId="3" borderId="112" xfId="3" applyBorder="1" applyAlignment="1" applyProtection="1">
      <alignment horizontal="left" vertical="center"/>
    </xf>
    <xf numFmtId="0" fontId="3" fillId="3" borderId="113" xfId="3" applyBorder="1" applyAlignment="1" applyProtection="1">
      <alignment horizontal="left" vertical="center"/>
    </xf>
    <xf numFmtId="0" fontId="3" fillId="3" borderId="114" xfId="3" applyBorder="1" applyAlignment="1" applyProtection="1">
      <alignment horizontal="left" vertical="center"/>
    </xf>
    <xf numFmtId="0" fontId="3" fillId="3" borderId="112" xfId="3" applyBorder="1" applyAlignment="1" applyProtection="1">
      <alignment horizontal="center" vertical="center"/>
    </xf>
    <xf numFmtId="0" fontId="1" fillId="0" borderId="30" xfId="0" applyFont="1" applyBorder="1" applyAlignment="1">
      <alignment horizontal="center" vertical="center"/>
    </xf>
    <xf numFmtId="0" fontId="1" fillId="0" borderId="113" xfId="0" applyFont="1" applyBorder="1" applyAlignment="1">
      <alignment horizontal="center" vertical="center"/>
    </xf>
    <xf numFmtId="7" fontId="69" fillId="12" borderId="141" xfId="10" applyNumberFormat="1" applyFont="1" applyFill="1" applyBorder="1" applyAlignment="1" applyProtection="1">
      <alignment horizontal="right" vertical="center"/>
    </xf>
    <xf numFmtId="7" fontId="69" fillId="12" borderId="142" xfId="10" applyNumberFormat="1" applyFont="1" applyFill="1" applyBorder="1" applyAlignment="1" applyProtection="1">
      <alignment horizontal="right" vertical="center"/>
    </xf>
    <xf numFmtId="7" fontId="69" fillId="12" borderId="143" xfId="10" applyNumberFormat="1" applyFont="1" applyFill="1" applyBorder="1" applyAlignment="1" applyProtection="1">
      <alignment horizontal="right" vertical="center"/>
    </xf>
    <xf numFmtId="0" fontId="69" fillId="7" borderId="112" xfId="3" applyFont="1" applyFill="1" applyBorder="1" applyAlignment="1" applyProtection="1">
      <alignment horizontal="center" vertical="center"/>
    </xf>
    <xf numFmtId="0" fontId="69" fillId="7" borderId="112" xfId="3" applyFont="1" applyFill="1" applyBorder="1" applyAlignment="1" applyProtection="1">
      <alignment horizontal="left" vertical="center"/>
    </xf>
    <xf numFmtId="0" fontId="69" fillId="7" borderId="124" xfId="3" applyFont="1" applyFill="1" applyBorder="1" applyAlignment="1" applyProtection="1">
      <alignment horizontal="left" vertical="center"/>
    </xf>
    <xf numFmtId="166" fontId="69" fillId="7" borderId="112" xfId="3" applyNumberFormat="1" applyFont="1" applyFill="1" applyBorder="1" applyAlignment="1" applyProtection="1">
      <alignment horizontal="left" vertical="center"/>
    </xf>
    <xf numFmtId="0" fontId="69" fillId="7" borderId="30" xfId="3" applyFont="1" applyFill="1" applyBorder="1" applyAlignment="1" applyProtection="1">
      <alignment horizontal="right" vertical="center"/>
    </xf>
    <xf numFmtId="0" fontId="69" fillId="7" borderId="30" xfId="3" applyFont="1" applyFill="1" applyBorder="1" applyAlignment="1" applyProtection="1">
      <alignment horizontal="left" vertical="center"/>
    </xf>
    <xf numFmtId="166" fontId="69" fillId="7" borderId="30" xfId="3" applyNumberFormat="1" applyFont="1" applyFill="1" applyBorder="1" applyAlignment="1" applyProtection="1">
      <alignment horizontal="right" vertical="center"/>
    </xf>
    <xf numFmtId="0" fontId="69" fillId="7" borderId="103" xfId="3" applyFont="1" applyFill="1" applyBorder="1" applyAlignment="1" applyProtection="1">
      <alignment horizontal="right" vertical="center"/>
    </xf>
    <xf numFmtId="0" fontId="52" fillId="13" borderId="30" xfId="11" applyFont="1" applyFill="1" applyBorder="1" applyAlignment="1" applyProtection="1">
      <alignment horizontal="left" vertical="center" indent="1"/>
    </xf>
    <xf numFmtId="166" fontId="52" fillId="13" borderId="30" xfId="11" applyNumberFormat="1" applyFont="1" applyFill="1" applyBorder="1" applyAlignment="1" applyProtection="1">
      <alignment horizontal="left" vertical="center" indent="1"/>
    </xf>
    <xf numFmtId="175" fontId="52" fillId="13" borderId="30" xfId="11" applyNumberFormat="1" applyFont="1" applyFill="1" applyBorder="1" applyAlignment="1" applyProtection="1">
      <alignment horizontal="center" vertical="center"/>
    </xf>
    <xf numFmtId="176" fontId="52" fillId="13" borderId="30" xfId="11" applyNumberFormat="1" applyFont="1" applyFill="1" applyBorder="1" applyAlignment="1" applyProtection="1">
      <alignment horizontal="right" vertical="center"/>
    </xf>
    <xf numFmtId="0" fontId="52" fillId="13" borderId="30" xfId="11" applyFont="1" applyFill="1" applyBorder="1" applyAlignment="1" applyProtection="1">
      <alignment horizontal="left" vertical="center"/>
    </xf>
    <xf numFmtId="0" fontId="52" fillId="13" borderId="30" xfId="11" applyFont="1" applyFill="1" applyBorder="1" applyAlignment="1" applyProtection="1">
      <alignment horizontal="right" vertical="center"/>
    </xf>
    <xf numFmtId="190" fontId="52" fillId="13" borderId="30" xfId="11" applyNumberFormat="1" applyFont="1" applyFill="1" applyBorder="1" applyAlignment="1" applyProtection="1">
      <alignment horizontal="left" vertical="center"/>
    </xf>
    <xf numFmtId="8" fontId="52" fillId="13" borderId="93" xfId="11" applyNumberFormat="1" applyFont="1" applyFill="1" applyBorder="1" applyAlignment="1" applyProtection="1">
      <alignment horizontal="right" vertical="center"/>
    </xf>
    <xf numFmtId="175" fontId="69" fillId="12" borderId="30" xfId="10" applyNumberFormat="1" applyFont="1" applyFill="1" applyBorder="1" applyAlignment="1" applyProtection="1">
      <alignment horizontal="left" vertical="center"/>
    </xf>
    <xf numFmtId="176" fontId="69" fillId="12" borderId="30" xfId="10" applyNumberFormat="1" applyFont="1" applyFill="1" applyBorder="1" applyAlignment="1" applyProtection="1">
      <alignment horizontal="left" vertical="center"/>
    </xf>
    <xf numFmtId="0" fontId="69" fillId="12" borderId="30" xfId="10" applyFont="1" applyFill="1" applyBorder="1" applyAlignment="1" applyProtection="1">
      <alignment horizontal="left" vertical="center"/>
    </xf>
    <xf numFmtId="7" fontId="69" fillId="12" borderId="30" xfId="10" applyNumberFormat="1" applyFont="1" applyFill="1" applyBorder="1" applyAlignment="1" applyProtection="1">
      <alignment horizontal="left" vertical="center"/>
    </xf>
    <xf numFmtId="7" fontId="69" fillId="12" borderId="93" xfId="10" applyNumberFormat="1" applyFont="1" applyFill="1" applyBorder="1" applyAlignment="1" applyProtection="1">
      <alignment horizontal="right" vertical="center"/>
    </xf>
    <xf numFmtId="0" fontId="31" fillId="0" borderId="101" xfId="5" applyFont="1" applyBorder="1" applyAlignment="1">
      <alignment horizontal="left" vertical="center"/>
    </xf>
    <xf numFmtId="167" fontId="26" fillId="8" borderId="0" xfId="5" applyNumberFormat="1" applyFont="1" applyFill="1" applyAlignment="1" applyProtection="1">
      <alignment horizontal="left" vertical="center"/>
      <protection hidden="1"/>
    </xf>
    <xf numFmtId="167" fontId="50" fillId="8" borderId="0" xfId="5" applyNumberFormat="1" applyFont="1" applyFill="1" applyAlignment="1">
      <alignment horizontal="center" vertical="center"/>
    </xf>
    <xf numFmtId="0" fontId="26" fillId="8" borderId="0" xfId="5" applyFont="1" applyFill="1" applyAlignment="1" applyProtection="1">
      <alignment horizontal="left" vertical="center"/>
      <protection hidden="1"/>
    </xf>
    <xf numFmtId="0" fontId="0" fillId="0" borderId="0" xfId="0" applyAlignment="1" applyProtection="1">
      <alignment horizontal="left" vertical="center"/>
      <protection hidden="1"/>
    </xf>
    <xf numFmtId="189" fontId="26" fillId="8" borderId="0" xfId="5" applyNumberFormat="1" applyFont="1" applyFill="1" applyAlignment="1">
      <alignment horizontal="center" vertical="center"/>
    </xf>
    <xf numFmtId="167" fontId="26" fillId="8" borderId="0" xfId="5" applyNumberFormat="1" applyFont="1" applyFill="1" applyAlignment="1">
      <alignment horizontal="left" vertical="center"/>
    </xf>
    <xf numFmtId="7" fontId="31" fillId="10" borderId="0" xfId="11" applyNumberFormat="1" applyFont="1" applyFill="1" applyBorder="1" applyAlignment="1" applyProtection="1">
      <alignment horizontal="right" vertical="center"/>
      <protection hidden="1"/>
    </xf>
    <xf numFmtId="0" fontId="20" fillId="0" borderId="80" xfId="5" applyFont="1" applyBorder="1" applyProtection="1">
      <protection hidden="1"/>
    </xf>
    <xf numFmtId="189" fontId="26" fillId="8" borderId="80" xfId="5" applyNumberFormat="1" applyFont="1" applyFill="1" applyBorder="1" applyAlignment="1">
      <alignment horizontal="center" vertical="center"/>
    </xf>
    <xf numFmtId="0" fontId="4" fillId="0" borderId="0" xfId="0" applyFont="1" applyAlignment="1" applyProtection="1">
      <alignment horizontal="left" vertical="center"/>
      <protection locked="0"/>
    </xf>
    <xf numFmtId="0" fontId="25" fillId="0" borderId="31" xfId="5" applyFont="1" applyBorder="1" applyAlignment="1" applyProtection="1">
      <alignment horizontal="right" vertical="center"/>
      <protection hidden="1"/>
    </xf>
    <xf numFmtId="0" fontId="25" fillId="0" borderId="47" xfId="5" applyFont="1" applyBorder="1" applyAlignment="1" applyProtection="1">
      <alignment horizontal="right" vertical="center"/>
      <protection hidden="1"/>
    </xf>
    <xf numFmtId="0" fontId="20" fillId="0" borderId="67" xfId="5" applyFont="1" applyBorder="1" applyProtection="1">
      <protection hidden="1"/>
    </xf>
    <xf numFmtId="192" fontId="25" fillId="10" borderId="47" xfId="5" applyNumberFormat="1" applyFont="1" applyFill="1" applyBorder="1" applyAlignment="1" applyProtection="1">
      <alignment horizontal="left" vertical="center"/>
      <protection hidden="1"/>
    </xf>
    <xf numFmtId="0" fontId="4" fillId="10" borderId="47" xfId="0" applyFont="1" applyFill="1" applyBorder="1" applyAlignment="1" applyProtection="1">
      <alignment horizontal="left" vertical="center"/>
      <protection hidden="1"/>
    </xf>
    <xf numFmtId="0" fontId="25" fillId="0" borderId="171" xfId="5" applyFont="1" applyBorder="1" applyAlignment="1" applyProtection="1">
      <alignment horizontal="right" vertical="center"/>
      <protection hidden="1"/>
    </xf>
    <xf numFmtId="0" fontId="25" fillId="0" borderId="102" xfId="5" applyFont="1" applyBorder="1" applyAlignment="1" applyProtection="1">
      <alignment horizontal="right" vertical="center"/>
      <protection hidden="1"/>
    </xf>
    <xf numFmtId="0" fontId="25" fillId="0" borderId="172" xfId="5" applyFont="1" applyBorder="1" applyAlignment="1" applyProtection="1">
      <alignment horizontal="right" vertical="center"/>
      <protection hidden="1"/>
    </xf>
    <xf numFmtId="0" fontId="25" fillId="0" borderId="121" xfId="5" applyFont="1" applyBorder="1" applyAlignment="1" applyProtection="1">
      <alignment horizontal="right" vertical="center"/>
      <protection hidden="1"/>
    </xf>
    <xf numFmtId="0" fontId="25" fillId="0" borderId="175" xfId="5" applyFont="1" applyBorder="1" applyAlignment="1" applyProtection="1">
      <alignment horizontal="right" vertical="center"/>
      <protection hidden="1"/>
    </xf>
    <xf numFmtId="0" fontId="25" fillId="0" borderId="120" xfId="5" applyFont="1" applyBorder="1" applyAlignment="1" applyProtection="1">
      <alignment horizontal="right" vertical="center"/>
      <protection hidden="1"/>
    </xf>
    <xf numFmtId="0" fontId="25" fillId="0" borderId="173" xfId="5" applyFont="1" applyBorder="1" applyAlignment="1" applyProtection="1">
      <alignment horizontal="right" vertical="center"/>
      <protection hidden="1"/>
    </xf>
    <xf numFmtId="0" fontId="31" fillId="18" borderId="30" xfId="11" applyFont="1" applyFill="1" applyBorder="1" applyAlignment="1" applyProtection="1">
      <alignment horizontal="left" vertical="center" indent="1"/>
    </xf>
    <xf numFmtId="166" fontId="31" fillId="18" borderId="30" xfId="11" applyNumberFormat="1" applyFont="1" applyFill="1" applyBorder="1" applyAlignment="1" applyProtection="1">
      <alignment horizontal="left" vertical="center" indent="1"/>
    </xf>
    <xf numFmtId="175" fontId="31" fillId="18" borderId="30" xfId="11" applyNumberFormat="1" applyFont="1" applyFill="1" applyBorder="1" applyAlignment="1" applyProtection="1">
      <alignment horizontal="center" vertical="center"/>
    </xf>
    <xf numFmtId="176" fontId="31" fillId="18" borderId="30" xfId="11" applyNumberFormat="1" applyFont="1" applyFill="1" applyBorder="1" applyAlignment="1" applyProtection="1">
      <alignment horizontal="right" vertical="center"/>
    </xf>
    <xf numFmtId="0" fontId="31" fillId="18" borderId="30" xfId="11" applyFont="1" applyFill="1" applyBorder="1" applyAlignment="1" applyProtection="1">
      <alignment horizontal="left" vertical="center"/>
    </xf>
    <xf numFmtId="166" fontId="31" fillId="18" borderId="93" xfId="11" applyNumberFormat="1" applyFont="1" applyFill="1" applyBorder="1" applyAlignment="1" applyProtection="1">
      <alignment horizontal="right" vertical="center"/>
    </xf>
    <xf numFmtId="166" fontId="31" fillId="18" borderId="141" xfId="11" applyNumberFormat="1" applyFont="1" applyFill="1" applyBorder="1" applyAlignment="1" applyProtection="1">
      <alignment horizontal="right" vertical="center"/>
    </xf>
    <xf numFmtId="5" fontId="31" fillId="18" borderId="142" xfId="11" applyNumberFormat="1" applyFont="1" applyFill="1" applyBorder="1" applyAlignment="1" applyProtection="1">
      <alignment horizontal="right" vertical="center"/>
    </xf>
    <xf numFmtId="7" fontId="31" fillId="18" borderId="143" xfId="11" applyNumberFormat="1" applyFont="1" applyFill="1" applyBorder="1" applyAlignment="1" applyProtection="1">
      <alignment horizontal="right" vertical="center"/>
    </xf>
    <xf numFmtId="0" fontId="31" fillId="0" borderId="28" xfId="5" applyFont="1" applyBorder="1" applyAlignment="1" applyProtection="1">
      <alignment horizontal="right" vertical="center"/>
      <protection hidden="1"/>
    </xf>
    <xf numFmtId="0" fontId="31" fillId="0" borderId="68" xfId="5" applyFont="1" applyBorder="1" applyAlignment="1" applyProtection="1">
      <alignment horizontal="right" vertical="center"/>
      <protection hidden="1"/>
    </xf>
    <xf numFmtId="0" fontId="31" fillId="0" borderId="147" xfId="5" applyFont="1" applyBorder="1" applyAlignment="1">
      <alignment horizontal="right" vertical="center"/>
    </xf>
    <xf numFmtId="0" fontId="31" fillId="0" borderId="148" xfId="5" applyFont="1" applyBorder="1" applyAlignment="1">
      <alignment horizontal="right" vertical="center"/>
    </xf>
    <xf numFmtId="0" fontId="31" fillId="0" borderId="149" xfId="5" applyFont="1" applyBorder="1" applyAlignment="1">
      <alignment horizontal="right" vertical="center"/>
    </xf>
    <xf numFmtId="0" fontId="31" fillId="0" borderId="150" xfId="5" applyFont="1" applyBorder="1" applyAlignment="1">
      <alignment horizontal="right" vertical="center"/>
    </xf>
    <xf numFmtId="0" fontId="31" fillId="0" borderId="151" xfId="5" applyFont="1" applyBorder="1" applyAlignment="1">
      <alignment horizontal="right" vertical="center"/>
    </xf>
    <xf numFmtId="0" fontId="31" fillId="0" borderId="152" xfId="5" applyFont="1" applyBorder="1" applyAlignment="1">
      <alignment horizontal="right" vertical="center"/>
    </xf>
    <xf numFmtId="3" fontId="61" fillId="0" borderId="0" xfId="5" applyNumberFormat="1" applyFont="1" applyAlignment="1" applyProtection="1">
      <alignment horizontal="left"/>
      <protection hidden="1"/>
    </xf>
    <xf numFmtId="4" fontId="22" fillId="0" borderId="0" xfId="5" applyNumberFormat="1" applyFont="1" applyAlignment="1" applyProtection="1">
      <alignment horizontal="left"/>
      <protection hidden="1"/>
    </xf>
    <xf numFmtId="4" fontId="53" fillId="0" borderId="0" xfId="5" applyNumberFormat="1" applyFont="1" applyAlignment="1" applyProtection="1">
      <alignment horizontal="left"/>
      <protection hidden="1"/>
    </xf>
    <xf numFmtId="0" fontId="69" fillId="19" borderId="30" xfId="10" applyFont="1" applyFill="1" applyBorder="1" applyAlignment="1" applyProtection="1">
      <alignment horizontal="left" vertical="center" indent="1"/>
      <protection hidden="1"/>
    </xf>
    <xf numFmtId="166" fontId="52" fillId="19" borderId="30" xfId="11" applyNumberFormat="1" applyFont="1" applyFill="1" applyBorder="1" applyAlignment="1" applyProtection="1">
      <alignment horizontal="left" vertical="center" indent="1"/>
    </xf>
    <xf numFmtId="175" fontId="69" fillId="19" borderId="30" xfId="10" applyNumberFormat="1" applyFont="1" applyFill="1" applyBorder="1" applyAlignment="1" applyProtection="1">
      <alignment horizontal="left" vertical="center"/>
      <protection hidden="1"/>
    </xf>
    <xf numFmtId="176" fontId="69" fillId="19" borderId="30" xfId="10" applyNumberFormat="1" applyFont="1" applyFill="1" applyBorder="1" applyAlignment="1" applyProtection="1">
      <alignment horizontal="left" vertical="center"/>
      <protection hidden="1"/>
    </xf>
    <xf numFmtId="0" fontId="69" fillId="19" borderId="30" xfId="10" applyFont="1" applyFill="1" applyBorder="1" applyAlignment="1" applyProtection="1">
      <alignment horizontal="left" vertical="center"/>
      <protection hidden="1"/>
    </xf>
    <xf numFmtId="8" fontId="69" fillId="19" borderId="93" xfId="10" applyNumberFormat="1" applyFont="1" applyFill="1" applyBorder="1" applyAlignment="1" applyProtection="1">
      <alignment horizontal="right" vertical="center"/>
    </xf>
    <xf numFmtId="5" fontId="69" fillId="19" borderId="93" xfId="10" applyNumberFormat="1" applyFont="1" applyFill="1" applyBorder="1" applyAlignment="1" applyProtection="1">
      <alignment horizontal="right" vertical="center"/>
    </xf>
    <xf numFmtId="7" fontId="69" fillId="19" borderId="174" xfId="10" applyNumberFormat="1" applyFont="1" applyFill="1" applyBorder="1" applyAlignment="1" applyProtection="1">
      <alignment horizontal="right" vertical="center"/>
    </xf>
    <xf numFmtId="0" fontId="52" fillId="11" borderId="30" xfId="11" applyFont="1" applyFill="1" applyBorder="1" applyAlignment="1" applyProtection="1">
      <alignment horizontal="left" vertical="center" indent="1"/>
    </xf>
    <xf numFmtId="166" fontId="52" fillId="11" borderId="30" xfId="11" applyNumberFormat="1" applyFont="1" applyFill="1" applyBorder="1" applyAlignment="1" applyProtection="1">
      <alignment horizontal="left" vertical="center" indent="1"/>
    </xf>
    <xf numFmtId="175" fontId="52" fillId="11" borderId="30" xfId="11" applyNumberFormat="1" applyFont="1" applyFill="1" applyBorder="1" applyAlignment="1" applyProtection="1">
      <alignment horizontal="center" vertical="center"/>
    </xf>
    <xf numFmtId="176" fontId="52" fillId="11" borderId="30" xfId="11" applyNumberFormat="1" applyFont="1" applyFill="1" applyBorder="1" applyAlignment="1" applyProtection="1">
      <alignment horizontal="left" vertical="center"/>
    </xf>
    <xf numFmtId="0" fontId="52" fillId="11" borderId="30" xfId="11" applyFont="1" applyFill="1" applyBorder="1" applyAlignment="1" applyProtection="1">
      <alignment horizontal="left" vertical="center"/>
    </xf>
    <xf numFmtId="0" fontId="52" fillId="11" borderId="30" xfId="11" applyFont="1" applyFill="1" applyBorder="1" applyAlignment="1" applyProtection="1">
      <alignment horizontal="right" vertical="center"/>
    </xf>
    <xf numFmtId="7" fontId="52" fillId="11" borderId="30" xfId="11" applyNumberFormat="1" applyFont="1" applyFill="1" applyBorder="1" applyAlignment="1" applyProtection="1">
      <alignment horizontal="right" vertical="center"/>
    </xf>
    <xf numFmtId="7" fontId="52" fillId="11" borderId="103" xfId="11" applyNumberFormat="1" applyFont="1" applyFill="1" applyBorder="1" applyAlignment="1" applyProtection="1">
      <alignment horizontal="right" vertical="center"/>
    </xf>
    <xf numFmtId="0" fontId="25" fillId="0" borderId="32" xfId="5" applyFont="1" applyBorder="1" applyAlignment="1" applyProtection="1">
      <alignment horizontal="right" vertical="center"/>
      <protection hidden="1"/>
    </xf>
    <xf numFmtId="0" fontId="25" fillId="0" borderId="28" xfId="5" applyFont="1" applyBorder="1" applyAlignment="1" applyProtection="1">
      <alignment horizontal="right" vertical="center"/>
      <protection hidden="1"/>
    </xf>
    <xf numFmtId="0" fontId="69" fillId="19" borderId="31" xfId="10" applyFont="1" applyFill="1" applyBorder="1" applyAlignment="1" applyProtection="1">
      <alignment horizontal="left" vertical="center"/>
      <protection hidden="1"/>
    </xf>
    <xf numFmtId="0" fontId="69" fillId="19" borderId="31" xfId="10" applyFont="1" applyFill="1" applyBorder="1" applyAlignment="1" applyProtection="1">
      <alignment horizontal="right" vertical="center"/>
      <protection hidden="1"/>
    </xf>
    <xf numFmtId="6" fontId="69" fillId="19" borderId="31" xfId="10" applyNumberFormat="1" applyFont="1" applyFill="1" applyBorder="1" applyAlignment="1" applyProtection="1">
      <alignment horizontal="right" vertical="center"/>
      <protection hidden="1"/>
    </xf>
    <xf numFmtId="0" fontId="31" fillId="18" borderId="47" xfId="11" applyFont="1" applyFill="1" applyBorder="1" applyAlignment="1" applyProtection="1">
      <alignment horizontal="left" vertical="center"/>
    </xf>
    <xf numFmtId="0" fontId="31" fillId="18" borderId="47" xfId="11" applyFont="1" applyFill="1" applyBorder="1" applyAlignment="1" applyProtection="1">
      <alignment horizontal="right" vertical="center"/>
    </xf>
    <xf numFmtId="0" fontId="53" fillId="0" borderId="0" xfId="5" applyFont="1" applyAlignment="1" applyProtection="1">
      <alignment horizontal="center" vertical="center"/>
      <protection hidden="1"/>
    </xf>
    <xf numFmtId="3" fontId="0" fillId="0" borderId="0" xfId="0" applyNumberFormat="1"/>
    <xf numFmtId="190" fontId="0" fillId="0" borderId="0" xfId="0" applyNumberFormat="1"/>
    <xf numFmtId="0" fontId="23" fillId="0" borderId="117" xfId="5" applyFont="1" applyBorder="1" applyAlignment="1">
      <alignment horizontal="center" vertical="center"/>
    </xf>
    <xf numFmtId="0" fontId="0" fillId="0" borderId="163" xfId="0" applyBorder="1" applyAlignment="1">
      <alignment horizontal="center" vertical="center"/>
    </xf>
    <xf numFmtId="1" fontId="13" fillId="5" borderId="117" xfId="5" applyNumberFormat="1" applyFont="1" applyFill="1" applyBorder="1" applyAlignment="1" applyProtection="1">
      <alignment horizontal="center" vertical="center"/>
      <protection locked="0"/>
    </xf>
    <xf numFmtId="0" fontId="0" fillId="0" borderId="163" xfId="0" applyBorder="1" applyAlignment="1" applyProtection="1">
      <alignment horizontal="center" vertical="center"/>
      <protection locked="0"/>
    </xf>
    <xf numFmtId="1" fontId="12" fillId="0" borderId="117" xfId="5" applyNumberFormat="1" applyFont="1" applyBorder="1" applyAlignment="1">
      <alignment horizontal="center" vertical="center"/>
    </xf>
    <xf numFmtId="165" fontId="13" fillId="5" borderId="165" xfId="5" applyNumberFormat="1" applyFont="1" applyFill="1" applyBorder="1" applyAlignment="1" applyProtection="1">
      <alignment horizontal="center" vertical="center"/>
      <protection locked="0"/>
    </xf>
    <xf numFmtId="0" fontId="0" fillId="0" borderId="166" xfId="0" applyBorder="1" applyAlignment="1" applyProtection="1">
      <alignment horizontal="center" vertical="center"/>
      <protection locked="0"/>
    </xf>
    <xf numFmtId="1" fontId="57" fillId="0" borderId="157" xfId="5" applyNumberFormat="1" applyFont="1" applyBorder="1" applyAlignment="1">
      <alignment horizontal="center" vertical="center" wrapText="1"/>
    </xf>
    <xf numFmtId="0" fontId="0" fillId="0" borderId="167" xfId="0" applyBorder="1" applyAlignment="1">
      <alignment wrapText="1"/>
    </xf>
    <xf numFmtId="0" fontId="0" fillId="0" borderId="168" xfId="0" applyBorder="1" applyAlignment="1">
      <alignment wrapText="1"/>
    </xf>
    <xf numFmtId="0" fontId="59" fillId="0" borderId="117" xfId="0" applyFont="1" applyBorder="1" applyAlignment="1">
      <alignment vertical="center"/>
    </xf>
    <xf numFmtId="0" fontId="0" fillId="0" borderId="164" xfId="0" applyBorder="1" applyAlignment="1">
      <alignment vertical="center"/>
    </xf>
    <xf numFmtId="0" fontId="0" fillId="0" borderId="163" xfId="0" applyBorder="1" applyAlignment="1">
      <alignment vertical="center"/>
    </xf>
    <xf numFmtId="0" fontId="53" fillId="0" borderId="0" xfId="5" applyFont="1" applyProtection="1">
      <protection hidden="1"/>
    </xf>
    <xf numFmtId="0" fontId="0" fillId="0" borderId="0" xfId="0"/>
    <xf numFmtId="0" fontId="69" fillId="12" borderId="110" xfId="10" applyFont="1" applyFill="1" applyBorder="1" applyAlignment="1" applyProtection="1">
      <alignment horizontal="left" vertical="center"/>
    </xf>
    <xf numFmtId="0" fontId="70" fillId="0" borderId="30" xfId="0" applyFont="1" applyBorder="1" applyAlignment="1">
      <alignment horizontal="left" vertical="center"/>
    </xf>
    <xf numFmtId="0" fontId="69" fillId="7" borderId="110" xfId="3" applyFont="1" applyFill="1" applyBorder="1" applyAlignment="1" applyProtection="1">
      <alignment horizontal="left" vertical="center"/>
    </xf>
    <xf numFmtId="0" fontId="70" fillId="0" borderId="113" xfId="0" applyFont="1" applyBorder="1" applyAlignment="1">
      <alignment horizontal="left" vertical="center"/>
    </xf>
    <xf numFmtId="1" fontId="8" fillId="0" borderId="117" xfId="5" applyNumberFormat="1" applyFont="1" applyBorder="1" applyAlignment="1">
      <alignment horizontal="right" vertical="center"/>
    </xf>
    <xf numFmtId="0" fontId="0" fillId="0" borderId="164" xfId="0" applyBorder="1" applyAlignment="1">
      <alignment horizontal="right" vertical="center"/>
    </xf>
    <xf numFmtId="0" fontId="0" fillId="0" borderId="163" xfId="0" applyBorder="1" applyAlignment="1">
      <alignment horizontal="right" vertical="center"/>
    </xf>
    <xf numFmtId="167" fontId="26" fillId="8" borderId="74" xfId="5" applyNumberFormat="1" applyFont="1" applyFill="1" applyBorder="1" applyAlignment="1">
      <alignment horizontal="left" vertical="center"/>
    </xf>
    <xf numFmtId="0" fontId="0" fillId="0" borderId="78" xfId="0" applyBorder="1"/>
    <xf numFmtId="167" fontId="26" fillId="8" borderId="80" xfId="5" applyNumberFormat="1" applyFont="1" applyFill="1" applyBorder="1" applyAlignment="1">
      <alignment horizontal="left" vertical="center"/>
    </xf>
    <xf numFmtId="0" fontId="0" fillId="0" borderId="81" xfId="0" applyBorder="1"/>
    <xf numFmtId="0" fontId="0" fillId="0" borderId="74" xfId="0" applyBorder="1"/>
    <xf numFmtId="0" fontId="0" fillId="0" borderId="78" xfId="0" applyBorder="1" applyAlignment="1">
      <alignment vertical="center"/>
    </xf>
    <xf numFmtId="0" fontId="28" fillId="0" borderId="31" xfId="5" applyFont="1" applyBorder="1" applyAlignment="1" applyProtection="1">
      <alignment horizontal="left" vertical="center" wrapText="1"/>
      <protection hidden="1"/>
    </xf>
    <xf numFmtId="0" fontId="0" fillId="0" borderId="31" xfId="0" applyBorder="1" applyAlignment="1" applyProtection="1">
      <alignment horizontal="left" vertical="center" wrapText="1"/>
      <protection hidden="1"/>
    </xf>
    <xf numFmtId="0" fontId="0" fillId="0" borderId="0" xfId="0" applyAlignment="1" applyProtection="1">
      <alignment horizontal="left" vertical="center" wrapText="1"/>
      <protection hidden="1"/>
    </xf>
    <xf numFmtId="1" fontId="17" fillId="0" borderId="153" xfId="5" applyNumberFormat="1" applyFont="1" applyBorder="1" applyAlignment="1" applyProtection="1">
      <alignment horizontal="right"/>
      <protection hidden="1"/>
    </xf>
    <xf numFmtId="0" fontId="18" fillId="0" borderId="154" xfId="0" applyFont="1" applyBorder="1"/>
    <xf numFmtId="0" fontId="18" fillId="0" borderId="109" xfId="0" applyFont="1" applyBorder="1"/>
    <xf numFmtId="0" fontId="18" fillId="0" borderId="95" xfId="0" applyFont="1" applyBorder="1"/>
    <xf numFmtId="0" fontId="69" fillId="11" borderId="44" xfId="0" applyFont="1" applyFill="1" applyBorder="1" applyAlignment="1">
      <alignment horizontal="left" vertical="center" shrinkToFit="1"/>
    </xf>
    <xf numFmtId="0" fontId="69" fillId="7" borderId="65" xfId="3" applyFont="1" applyFill="1" applyBorder="1" applyAlignment="1" applyProtection="1">
      <alignment horizontal="left" vertical="center"/>
    </xf>
    <xf numFmtId="0" fontId="71" fillId="0" borderId="113" xfId="0" applyFont="1" applyBorder="1" applyAlignment="1">
      <alignment horizontal="left" vertical="center"/>
    </xf>
    <xf numFmtId="0" fontId="24" fillId="17" borderId="134" xfId="3" applyFont="1" applyFill="1" applyBorder="1" applyAlignment="1" applyProtection="1">
      <alignment horizontal="left" vertical="center"/>
    </xf>
    <xf numFmtId="0" fontId="34" fillId="0" borderId="134" xfId="0" applyFont="1" applyBorder="1" applyAlignment="1">
      <alignment horizontal="left" vertical="center"/>
    </xf>
    <xf numFmtId="0" fontId="0" fillId="0" borderId="80" xfId="0" applyBorder="1"/>
    <xf numFmtId="0" fontId="69" fillId="13" borderId="110" xfId="11" applyFont="1" applyFill="1" applyBorder="1" applyAlignment="1" applyProtection="1"/>
    <xf numFmtId="0" fontId="70" fillId="0" borderId="30" xfId="0" applyFont="1" applyBorder="1"/>
    <xf numFmtId="0" fontId="69" fillId="11" borderId="110" xfId="10" applyFont="1" applyFill="1" applyBorder="1" applyAlignment="1" applyProtection="1">
      <alignment horizontal="left" vertical="center"/>
      <protection hidden="1"/>
    </xf>
    <xf numFmtId="0" fontId="70" fillId="0" borderId="30" xfId="0" applyFont="1" applyBorder="1" applyAlignment="1" applyProtection="1">
      <alignment horizontal="left" vertical="center"/>
      <protection hidden="1"/>
    </xf>
    <xf numFmtId="0" fontId="69" fillId="7" borderId="112" xfId="3" applyFont="1" applyFill="1" applyBorder="1" applyAlignment="1" applyProtection="1">
      <alignment horizontal="left" vertical="center"/>
    </xf>
    <xf numFmtId="167" fontId="26" fillId="8" borderId="75" xfId="5" applyNumberFormat="1" applyFont="1" applyFill="1" applyBorder="1" applyAlignment="1">
      <alignment horizontal="left" vertical="center"/>
    </xf>
    <xf numFmtId="0" fontId="0" fillId="0" borderId="75" xfId="0" applyBorder="1"/>
    <xf numFmtId="0" fontId="26" fillId="8" borderId="77" xfId="5" applyFont="1" applyFill="1" applyBorder="1" applyAlignment="1" applyProtection="1">
      <alignment horizontal="left" vertical="center"/>
      <protection hidden="1"/>
    </xf>
    <xf numFmtId="0" fontId="0" fillId="0" borderId="74" xfId="0" applyBorder="1" applyAlignment="1" applyProtection="1">
      <alignment horizontal="left" vertical="center"/>
      <protection hidden="1"/>
    </xf>
    <xf numFmtId="0" fontId="56" fillId="0" borderId="101" xfId="5" applyFont="1" applyBorder="1" applyAlignment="1">
      <alignment horizontal="center" vertical="center" wrapText="1"/>
    </xf>
    <xf numFmtId="0" fontId="56" fillId="0" borderId="101" xfId="0" applyFont="1" applyBorder="1" applyAlignment="1">
      <alignment horizontal="center" vertical="center" wrapText="1"/>
    </xf>
    <xf numFmtId="176" fontId="52" fillId="13" borderId="30" xfId="11" applyNumberFormat="1" applyFont="1" applyFill="1" applyBorder="1" applyAlignment="1" applyProtection="1">
      <alignment horizontal="left" vertical="center"/>
    </xf>
    <xf numFmtId="0" fontId="51" fillId="0" borderId="30" xfId="0" applyFont="1" applyBorder="1" applyAlignment="1">
      <alignment horizontal="left" vertical="center"/>
    </xf>
    <xf numFmtId="0" fontId="24" fillId="17" borderId="162" xfId="3" applyFont="1" applyFill="1" applyBorder="1" applyAlignment="1" applyProtection="1">
      <alignment horizontal="left" vertical="center"/>
    </xf>
    <xf numFmtId="0" fontId="34" fillId="0" borderId="162" xfId="0" applyFont="1" applyBorder="1"/>
    <xf numFmtId="4" fontId="69" fillId="7" borderId="60" xfId="5" applyNumberFormat="1" applyFont="1" applyFill="1" applyBorder="1" applyAlignment="1">
      <alignment horizontal="right" vertical="center"/>
    </xf>
    <xf numFmtId="0" fontId="70" fillId="0" borderId="60" xfId="0" applyFont="1" applyBorder="1"/>
    <xf numFmtId="4" fontId="69" fillId="12" borderId="60" xfId="5" applyNumberFormat="1" applyFont="1" applyFill="1" applyBorder="1" applyAlignment="1">
      <alignment horizontal="right" vertical="center"/>
    </xf>
    <xf numFmtId="4" fontId="69" fillId="11" borderId="45" xfId="5" applyNumberFormat="1" applyFont="1" applyFill="1" applyBorder="1" applyAlignment="1">
      <alignment horizontal="right" vertical="center"/>
    </xf>
    <xf numFmtId="0" fontId="70" fillId="0" borderId="137" xfId="0" applyFont="1" applyBorder="1"/>
    <xf numFmtId="0" fontId="0" fillId="0" borderId="76" xfId="0" applyBorder="1"/>
    <xf numFmtId="176" fontId="69" fillId="12" borderId="30" xfId="10" applyNumberFormat="1" applyFont="1" applyFill="1" applyBorder="1" applyAlignment="1" applyProtection="1">
      <alignment horizontal="left" vertical="center"/>
    </xf>
    <xf numFmtId="0" fontId="70" fillId="0" borderId="66" xfId="0" applyFont="1" applyBorder="1"/>
    <xf numFmtId="0" fontId="71" fillId="0" borderId="113" xfId="0" applyFont="1" applyBorder="1"/>
    <xf numFmtId="176" fontId="52" fillId="11" borderId="30" xfId="11" applyNumberFormat="1" applyFont="1" applyFill="1" applyBorder="1" applyAlignment="1" applyProtection="1">
      <alignment horizontal="left" vertical="center"/>
    </xf>
    <xf numFmtId="0" fontId="51" fillId="11" borderId="66" xfId="0" applyFont="1" applyFill="1" applyBorder="1"/>
    <xf numFmtId="167" fontId="26" fillId="8" borderId="76" xfId="5" applyNumberFormat="1" applyFont="1" applyFill="1" applyBorder="1" applyAlignment="1">
      <alignment horizontal="left" vertical="center"/>
    </xf>
    <xf numFmtId="0" fontId="47" fillId="0" borderId="0" xfId="5" applyFont="1" applyProtection="1">
      <protection hidden="1"/>
    </xf>
    <xf numFmtId="185" fontId="25" fillId="9" borderId="72" xfId="5" applyNumberFormat="1" applyFont="1" applyFill="1" applyBorder="1" applyAlignment="1" applyProtection="1">
      <alignment horizontal="left" vertical="center"/>
      <protection locked="0"/>
    </xf>
    <xf numFmtId="185" fontId="25" fillId="9" borderId="70" xfId="5" applyNumberFormat="1" applyFont="1" applyFill="1" applyBorder="1" applyAlignment="1" applyProtection="1">
      <alignment horizontal="left" vertical="center"/>
      <protection locked="0"/>
    </xf>
    <xf numFmtId="0" fontId="4" fillId="0" borderId="73" xfId="0" applyFont="1" applyBorder="1" applyAlignment="1" applyProtection="1">
      <alignment horizontal="left" vertical="center"/>
      <protection locked="0"/>
    </xf>
    <xf numFmtId="167" fontId="26" fillId="8" borderId="0" xfId="5" applyNumberFormat="1" applyFont="1" applyFill="1" applyAlignment="1" applyProtection="1">
      <alignment horizontal="left" vertical="center"/>
      <protection hidden="1"/>
    </xf>
    <xf numFmtId="0" fontId="0" fillId="0" borderId="0" xfId="0" applyProtection="1">
      <protection hidden="1"/>
    </xf>
    <xf numFmtId="192" fontId="25" fillId="9" borderId="72" xfId="5" applyNumberFormat="1" applyFont="1" applyFill="1" applyBorder="1" applyAlignment="1" applyProtection="1">
      <alignment horizontal="left" vertical="center"/>
      <protection locked="0"/>
    </xf>
    <xf numFmtId="192" fontId="25" fillId="9" borderId="70" xfId="5" applyNumberFormat="1" applyFont="1" applyFill="1" applyBorder="1" applyAlignment="1" applyProtection="1">
      <alignment horizontal="left" vertical="center"/>
      <protection locked="0"/>
    </xf>
    <xf numFmtId="0" fontId="73" fillId="10" borderId="116" xfId="5" applyFont="1" applyFill="1" applyBorder="1" applyAlignment="1" applyProtection="1">
      <alignment horizontal="left" vertical="center"/>
      <protection hidden="1"/>
    </xf>
    <xf numFmtId="0" fontId="73" fillId="10" borderId="118" xfId="5" applyFont="1" applyFill="1" applyBorder="1" applyAlignment="1" applyProtection="1">
      <alignment horizontal="left" vertical="center"/>
      <protection hidden="1"/>
    </xf>
    <xf numFmtId="0" fontId="49" fillId="0" borderId="115" xfId="0" applyFont="1" applyBorder="1" applyAlignment="1" applyProtection="1">
      <alignment horizontal="left" vertical="center"/>
      <protection hidden="1"/>
    </xf>
    <xf numFmtId="2" fontId="26" fillId="0" borderId="0" xfId="5" applyNumberFormat="1" applyFont="1" applyAlignment="1" applyProtection="1">
      <alignment vertical="center" wrapText="1"/>
      <protection hidden="1"/>
    </xf>
    <xf numFmtId="0" fontId="0" fillId="0" borderId="0" xfId="0" applyAlignment="1" applyProtection="1">
      <alignment wrapText="1"/>
      <protection hidden="1"/>
    </xf>
    <xf numFmtId="0" fontId="0" fillId="0" borderId="102" xfId="0" applyBorder="1" applyAlignment="1" applyProtection="1">
      <alignment wrapText="1"/>
      <protection hidden="1"/>
    </xf>
    <xf numFmtId="0" fontId="3" fillId="3" borderId="112" xfId="3" applyBorder="1" applyAlignment="1" applyProtection="1">
      <alignment horizontal="left" vertical="center"/>
    </xf>
    <xf numFmtId="0" fontId="1" fillId="0" borderId="30" xfId="0" applyFont="1" applyBorder="1" applyAlignment="1">
      <alignment horizontal="left" vertical="center"/>
    </xf>
    <xf numFmtId="0" fontId="1" fillId="0" borderId="103" xfId="0" applyFont="1" applyBorder="1" applyAlignment="1">
      <alignment horizontal="left" vertical="center"/>
    </xf>
    <xf numFmtId="180" fontId="25" fillId="9" borderId="72" xfId="5" applyNumberFormat="1" applyFont="1" applyFill="1" applyBorder="1" applyAlignment="1" applyProtection="1">
      <alignment horizontal="left" vertical="center"/>
      <protection locked="0"/>
    </xf>
    <xf numFmtId="180" fontId="25" fillId="9" borderId="70" xfId="5" applyNumberFormat="1" applyFont="1" applyFill="1" applyBorder="1" applyAlignment="1" applyProtection="1">
      <alignment horizontal="left" vertical="center"/>
      <protection locked="0"/>
    </xf>
    <xf numFmtId="181" fontId="25" fillId="9" borderId="72" xfId="5" applyNumberFormat="1" applyFont="1" applyFill="1" applyBorder="1" applyAlignment="1" applyProtection="1">
      <alignment horizontal="left" vertical="center"/>
      <protection locked="0"/>
    </xf>
    <xf numFmtId="181" fontId="25" fillId="9" borderId="70" xfId="5" applyNumberFormat="1" applyFont="1" applyFill="1" applyBorder="1" applyAlignment="1" applyProtection="1">
      <alignment horizontal="left" vertical="center"/>
      <protection locked="0"/>
    </xf>
    <xf numFmtId="182" fontId="25" fillId="9" borderId="72" xfId="5" applyNumberFormat="1" applyFont="1" applyFill="1" applyBorder="1" applyAlignment="1" applyProtection="1">
      <alignment horizontal="left"/>
      <protection locked="0"/>
    </xf>
    <xf numFmtId="182" fontId="25" fillId="9" borderId="70" xfId="5" applyNumberFormat="1" applyFont="1" applyFill="1" applyBorder="1" applyAlignment="1" applyProtection="1">
      <alignment horizontal="left"/>
      <protection locked="0"/>
    </xf>
    <xf numFmtId="0" fontId="4" fillId="0" borderId="73" xfId="0" applyFont="1" applyBorder="1" applyAlignment="1" applyProtection="1">
      <alignment horizontal="left"/>
      <protection locked="0"/>
    </xf>
    <xf numFmtId="183" fontId="25" fillId="9" borderId="106" xfId="5" applyNumberFormat="1" applyFont="1" applyFill="1" applyBorder="1" applyAlignment="1" applyProtection="1">
      <alignment horizontal="left" vertical="center"/>
      <protection locked="0"/>
    </xf>
    <xf numFmtId="183" fontId="25" fillId="9" borderId="119" xfId="5" applyNumberFormat="1" applyFont="1" applyFill="1" applyBorder="1" applyAlignment="1" applyProtection="1">
      <alignment horizontal="left" vertical="center"/>
      <protection locked="0"/>
    </xf>
    <xf numFmtId="0" fontId="4" fillId="0" borderId="107" xfId="0" applyFont="1" applyBorder="1" applyAlignment="1" applyProtection="1">
      <alignment horizontal="left" vertical="center"/>
      <protection locked="0"/>
    </xf>
    <xf numFmtId="184" fontId="25" fillId="9" borderId="72" xfId="5" applyNumberFormat="1" applyFont="1" applyFill="1" applyBorder="1" applyAlignment="1" applyProtection="1">
      <alignment horizontal="left" vertical="center"/>
      <protection locked="0"/>
    </xf>
    <xf numFmtId="184" fontId="25" fillId="9" borderId="70" xfId="5" applyNumberFormat="1" applyFont="1" applyFill="1" applyBorder="1" applyAlignment="1" applyProtection="1">
      <alignment horizontal="left" vertical="center"/>
      <protection locked="0"/>
    </xf>
    <xf numFmtId="179" fontId="25" fillId="9" borderId="72" xfId="5" applyNumberFormat="1" applyFont="1" applyFill="1" applyBorder="1" applyAlignment="1" applyProtection="1">
      <alignment horizontal="left" vertical="center"/>
      <protection locked="0"/>
    </xf>
    <xf numFmtId="179" fontId="25" fillId="9" borderId="70" xfId="5" applyNumberFormat="1" applyFont="1" applyFill="1" applyBorder="1" applyAlignment="1" applyProtection="1">
      <alignment horizontal="left" vertical="center"/>
      <protection locked="0"/>
    </xf>
    <xf numFmtId="191" fontId="25" fillId="9" borderId="104" xfId="5" applyNumberFormat="1" applyFont="1" applyFill="1" applyBorder="1" applyAlignment="1" applyProtection="1">
      <alignment horizontal="left" vertical="center"/>
      <protection locked="0"/>
    </xf>
    <xf numFmtId="191" fontId="25" fillId="9" borderId="71" xfId="5" applyNumberFormat="1" applyFont="1" applyFill="1" applyBorder="1" applyAlignment="1" applyProtection="1">
      <alignment horizontal="left" vertical="center"/>
      <protection locked="0"/>
    </xf>
    <xf numFmtId="0" fontId="4" fillId="0" borderId="105" xfId="0" applyFont="1" applyBorder="1" applyAlignment="1" applyProtection="1">
      <alignment horizontal="left" vertical="center"/>
      <protection locked="0"/>
    </xf>
    <xf numFmtId="178" fontId="26" fillId="9" borderId="116" xfId="0" applyNumberFormat="1" applyFont="1" applyFill="1" applyBorder="1" applyAlignment="1" applyProtection="1">
      <alignment horizontal="left" vertical="center"/>
      <protection locked="0"/>
    </xf>
    <xf numFmtId="178" fontId="26" fillId="9" borderId="115" xfId="0" applyNumberFormat="1" applyFont="1" applyFill="1" applyBorder="1" applyAlignment="1" applyProtection="1">
      <alignment horizontal="left" vertical="center"/>
      <protection locked="0"/>
    </xf>
    <xf numFmtId="174" fontId="26" fillId="9" borderId="72" xfId="0" applyNumberFormat="1" applyFont="1" applyFill="1" applyBorder="1" applyAlignment="1" applyProtection="1">
      <alignment horizontal="left" vertical="center"/>
      <protection locked="0"/>
    </xf>
    <xf numFmtId="174" fontId="26" fillId="9" borderId="73" xfId="0" applyNumberFormat="1" applyFont="1" applyFill="1" applyBorder="1" applyAlignment="1" applyProtection="1">
      <alignment horizontal="left" vertical="center"/>
      <protection locked="0"/>
    </xf>
    <xf numFmtId="172" fontId="26" fillId="9" borderId="72" xfId="2" applyNumberFormat="1" applyFont="1" applyFill="1" applyBorder="1" applyAlignment="1" applyProtection="1">
      <alignment horizontal="left" vertical="center"/>
      <protection locked="0"/>
    </xf>
    <xf numFmtId="0" fontId="0" fillId="0" borderId="73" xfId="0" applyBorder="1" applyAlignment="1" applyProtection="1">
      <alignment horizontal="left" vertical="center"/>
      <protection locked="0"/>
    </xf>
    <xf numFmtId="188" fontId="26" fillId="0" borderId="70" xfId="0" applyNumberFormat="1" applyFont="1" applyBorder="1" applyAlignment="1" applyProtection="1">
      <alignment horizontal="left" vertical="center"/>
      <protection hidden="1"/>
    </xf>
    <xf numFmtId="0" fontId="0" fillId="0" borderId="70" xfId="0" applyBorder="1" applyAlignment="1" applyProtection="1">
      <alignment horizontal="left" vertical="center"/>
      <protection hidden="1"/>
    </xf>
    <xf numFmtId="169" fontId="26" fillId="9" borderId="125" xfId="0" applyNumberFormat="1" applyFont="1" applyFill="1" applyBorder="1" applyAlignment="1" applyProtection="1">
      <alignment horizontal="left" vertical="center"/>
      <protection locked="0"/>
    </xf>
    <xf numFmtId="0" fontId="0" fillId="0" borderId="126" xfId="0" applyBorder="1" applyAlignment="1" applyProtection="1">
      <alignment horizontal="left" vertical="center"/>
      <protection locked="0"/>
    </xf>
    <xf numFmtId="0" fontId="70" fillId="0" borderId="60" xfId="0" applyFont="1" applyBorder="1" applyAlignment="1">
      <alignment horizontal="right" vertical="center"/>
    </xf>
    <xf numFmtId="0" fontId="70" fillId="0" borderId="137" xfId="0" applyFont="1" applyBorder="1" applyAlignment="1">
      <alignment horizontal="right" vertical="center"/>
    </xf>
    <xf numFmtId="1" fontId="7" fillId="0" borderId="157" xfId="5" applyNumberFormat="1" applyFont="1" applyBorder="1" applyAlignment="1">
      <alignment horizontal="center" vertical="center"/>
    </xf>
    <xf numFmtId="0" fontId="0" fillId="0" borderId="158" xfId="0" applyBorder="1" applyAlignment="1">
      <alignment horizontal="center" vertical="center"/>
    </xf>
    <xf numFmtId="0" fontId="13" fillId="5" borderId="117" xfId="5" applyFont="1" applyFill="1" applyBorder="1" applyAlignment="1" applyProtection="1">
      <alignment horizontal="center" vertical="center"/>
      <protection locked="0"/>
    </xf>
    <xf numFmtId="0" fontId="0" fillId="0" borderId="108" xfId="0" applyBorder="1" applyAlignment="1" applyProtection="1">
      <alignment horizontal="center" vertical="center"/>
      <protection locked="0"/>
    </xf>
    <xf numFmtId="1" fontId="13" fillId="0" borderId="129" xfId="5" applyNumberFormat="1" applyFont="1" applyBorder="1" applyAlignment="1">
      <alignment horizontal="center" vertical="center"/>
    </xf>
    <xf numFmtId="0" fontId="0" fillId="0" borderId="130" xfId="0" applyBorder="1" applyAlignment="1">
      <alignment horizontal="center" vertical="center"/>
    </xf>
    <xf numFmtId="1" fontId="7" fillId="0" borderId="117" xfId="5" applyNumberFormat="1" applyFont="1" applyBorder="1" applyAlignment="1">
      <alignment horizontal="center" vertical="center"/>
    </xf>
    <xf numFmtId="0" fontId="0" fillId="0" borderId="108" xfId="0" applyBorder="1" applyAlignment="1">
      <alignment horizontal="center" vertical="center"/>
    </xf>
    <xf numFmtId="0" fontId="69" fillId="11" borderId="44" xfId="5" applyFont="1" applyFill="1" applyBorder="1" applyAlignment="1">
      <alignment horizontal="left" vertical="center" shrinkToFit="1"/>
    </xf>
    <xf numFmtId="0" fontId="69" fillId="12" borderId="60" xfId="5" applyFont="1" applyFill="1" applyBorder="1" applyAlignment="1">
      <alignment horizontal="left" vertical="center" shrinkToFit="1"/>
    </xf>
    <xf numFmtId="0" fontId="69" fillId="12" borderId="60" xfId="0" applyFont="1" applyFill="1" applyBorder="1" applyAlignment="1">
      <alignment horizontal="left" vertical="center" shrinkToFit="1"/>
    </xf>
    <xf numFmtId="0" fontId="69" fillId="7" borderId="60" xfId="5" applyFont="1" applyFill="1" applyBorder="1" applyAlignment="1">
      <alignment horizontal="left" vertical="center" shrinkToFit="1"/>
    </xf>
    <xf numFmtId="0" fontId="69" fillId="7" borderId="60" xfId="0" applyFont="1" applyFill="1" applyBorder="1" applyAlignment="1">
      <alignment horizontal="left" vertical="center" shrinkToFit="1"/>
    </xf>
    <xf numFmtId="0" fontId="23" fillId="0" borderId="86" xfId="5" applyFont="1" applyBorder="1" applyAlignment="1">
      <alignment vertical="center"/>
    </xf>
    <xf numFmtId="0" fontId="0" fillId="0" borderId="86" xfId="0" applyBorder="1" applyAlignment="1">
      <alignment vertical="center"/>
    </xf>
    <xf numFmtId="1" fontId="8" fillId="0" borderId="86" xfId="5" applyNumberFormat="1" applyFont="1" applyBorder="1" applyAlignment="1">
      <alignment horizontal="right" vertical="center"/>
    </xf>
    <xf numFmtId="0" fontId="0" fillId="0" borderId="86" xfId="0" applyBorder="1"/>
    <xf numFmtId="1" fontId="11" fillId="0" borderId="128" xfId="4" applyNumberFormat="1" applyFont="1" applyFill="1" applyBorder="1" applyAlignment="1" applyProtection="1">
      <alignment horizontal="right" vertical="center"/>
    </xf>
    <xf numFmtId="0" fontId="0" fillId="0" borderId="128" xfId="0" applyBorder="1" applyAlignment="1">
      <alignment horizontal="right" vertical="center"/>
    </xf>
    <xf numFmtId="165" fontId="13" fillId="5" borderId="128" xfId="5" applyNumberFormat="1" applyFont="1" applyFill="1" applyBorder="1" applyAlignment="1" applyProtection="1">
      <alignment horizontal="center" vertical="center"/>
      <protection locked="0"/>
    </xf>
    <xf numFmtId="0" fontId="0" fillId="0" borderId="128" xfId="0" applyBorder="1" applyAlignment="1" applyProtection="1">
      <alignment horizontal="center" vertical="center"/>
      <protection locked="0"/>
    </xf>
    <xf numFmtId="1" fontId="12" fillId="0" borderId="86" xfId="5" applyNumberFormat="1" applyFont="1" applyBorder="1" applyAlignment="1">
      <alignment horizontal="center" vertical="center"/>
    </xf>
    <xf numFmtId="0" fontId="0" fillId="0" borderId="86" xfId="0" applyBorder="1" applyAlignment="1">
      <alignment horizontal="center" vertical="center"/>
    </xf>
    <xf numFmtId="1" fontId="13" fillId="5" borderId="86" xfId="5" applyNumberFormat="1" applyFont="1" applyFill="1" applyBorder="1" applyAlignment="1" applyProtection="1">
      <alignment horizontal="center" vertical="center"/>
      <protection locked="0"/>
    </xf>
    <xf numFmtId="0" fontId="0" fillId="0" borderId="86" xfId="0" applyBorder="1" applyAlignment="1" applyProtection="1">
      <alignment horizontal="center" vertical="center"/>
      <protection locked="0"/>
    </xf>
    <xf numFmtId="1" fontId="57" fillId="0" borderId="155" xfId="5" applyNumberFormat="1" applyFont="1" applyBorder="1" applyAlignment="1">
      <alignment horizontal="left" vertical="center" wrapText="1"/>
    </xf>
    <xf numFmtId="0" fontId="58" fillId="0" borderId="156" xfId="0" applyFont="1" applyBorder="1" applyAlignment="1">
      <alignment horizontal="left" vertical="center" wrapText="1"/>
    </xf>
    <xf numFmtId="0" fontId="58" fillId="0" borderId="94" xfId="0" applyFont="1" applyBorder="1" applyAlignment="1">
      <alignment horizontal="left" vertical="center" wrapText="1"/>
    </xf>
    <xf numFmtId="0" fontId="58" fillId="0" borderId="96" xfId="0" applyFont="1" applyBorder="1" applyAlignment="1">
      <alignment horizontal="left" vertical="center" wrapText="1"/>
    </xf>
    <xf numFmtId="1" fontId="8" fillId="4" borderId="94" xfId="5" applyNumberFormat="1" applyFont="1" applyFill="1" applyBorder="1" applyAlignment="1" applyProtection="1">
      <alignment horizontal="left" vertical="center"/>
      <protection locked="0"/>
    </xf>
    <xf numFmtId="0" fontId="0" fillId="0" borderId="96" xfId="0" applyBorder="1" applyAlignment="1" applyProtection="1">
      <alignment horizontal="left" vertical="center"/>
      <protection locked="0"/>
    </xf>
    <xf numFmtId="1" fontId="8" fillId="4" borderId="90" xfId="5" applyNumberFormat="1" applyFont="1" applyFill="1" applyBorder="1" applyAlignment="1" applyProtection="1">
      <alignment horizontal="left" vertical="center"/>
      <protection locked="0"/>
    </xf>
    <xf numFmtId="0" fontId="0" fillId="0" borderId="3" xfId="0" applyBorder="1" applyAlignment="1" applyProtection="1">
      <alignment horizontal="left" vertical="center"/>
      <protection locked="0"/>
    </xf>
    <xf numFmtId="1" fontId="17" fillId="0" borderId="109" xfId="5" applyNumberFormat="1" applyFont="1" applyBorder="1" applyAlignment="1" applyProtection="1">
      <alignment horizontal="right"/>
      <protection hidden="1"/>
    </xf>
    <xf numFmtId="1" fontId="17" fillId="0" borderId="127" xfId="5" applyNumberFormat="1" applyFont="1" applyBorder="1" applyAlignment="1" applyProtection="1">
      <alignment horizontal="right"/>
      <protection hidden="1"/>
    </xf>
    <xf numFmtId="0" fontId="18" fillId="0" borderId="91" xfId="0" applyFont="1" applyBorder="1"/>
    <xf numFmtId="0" fontId="0" fillId="0" borderId="75" xfId="0" applyBorder="1" applyAlignment="1">
      <alignment vertical="center"/>
    </xf>
    <xf numFmtId="0" fontId="69" fillId="7" borderId="112" xfId="3" applyFont="1" applyFill="1" applyBorder="1" applyAlignment="1" applyProtection="1">
      <alignment horizontal="right" vertical="center"/>
    </xf>
    <xf numFmtId="0" fontId="70" fillId="0" borderId="113" xfId="0" applyFont="1" applyBorder="1" applyAlignment="1">
      <alignment horizontal="right" vertical="center"/>
    </xf>
    <xf numFmtId="0" fontId="0" fillId="0" borderId="74" xfId="0" applyBorder="1" applyAlignment="1">
      <alignment vertical="center"/>
    </xf>
    <xf numFmtId="0" fontId="51" fillId="11" borderId="30" xfId="0" applyFont="1" applyFill="1" applyBorder="1"/>
    <xf numFmtId="191" fontId="73" fillId="10" borderId="106" xfId="5" applyNumberFormat="1" applyFont="1" applyFill="1" applyBorder="1" applyAlignment="1" applyProtection="1">
      <alignment horizontal="left" vertical="center" wrapText="1" shrinkToFit="1"/>
      <protection locked="0"/>
    </xf>
    <xf numFmtId="191" fontId="73" fillId="10" borderId="119" xfId="5" applyNumberFormat="1" applyFont="1" applyFill="1" applyBorder="1" applyAlignment="1" applyProtection="1">
      <alignment horizontal="left" vertical="center" wrapText="1" shrinkToFit="1"/>
      <protection locked="0"/>
    </xf>
    <xf numFmtId="0" fontId="74" fillId="10" borderId="119" xfId="0" applyFont="1" applyFill="1" applyBorder="1" applyAlignment="1" applyProtection="1">
      <alignment horizontal="left" vertical="center" wrapText="1" shrinkToFit="1"/>
      <protection locked="0"/>
    </xf>
    <xf numFmtId="0" fontId="49" fillId="10" borderId="119" xfId="0" applyFont="1" applyFill="1" applyBorder="1" applyAlignment="1">
      <alignment wrapText="1" shrinkToFit="1"/>
    </xf>
    <xf numFmtId="0" fontId="49" fillId="10" borderId="107" xfId="0" applyFont="1" applyFill="1" applyBorder="1" applyAlignment="1">
      <alignment wrapText="1" shrinkToFit="1"/>
    </xf>
    <xf numFmtId="0" fontId="49" fillId="10" borderId="169" xfId="0" applyFont="1" applyFill="1" applyBorder="1" applyAlignment="1">
      <alignment wrapText="1" shrinkToFit="1"/>
    </xf>
    <xf numFmtId="0" fontId="49" fillId="10" borderId="0" xfId="0" applyFont="1" applyFill="1" applyAlignment="1">
      <alignment wrapText="1" shrinkToFit="1"/>
    </xf>
    <xf numFmtId="0" fontId="49" fillId="10" borderId="170" xfId="0" applyFont="1" applyFill="1" applyBorder="1" applyAlignment="1">
      <alignment wrapText="1" shrinkToFit="1"/>
    </xf>
    <xf numFmtId="0" fontId="49" fillId="10" borderId="104" xfId="0" applyFont="1" applyFill="1" applyBorder="1" applyAlignment="1">
      <alignment wrapText="1" shrinkToFit="1"/>
    </xf>
    <xf numFmtId="0" fontId="49" fillId="10" borderId="71" xfId="0" applyFont="1" applyFill="1" applyBorder="1" applyAlignment="1">
      <alignment wrapText="1" shrinkToFit="1"/>
    </xf>
    <xf numFmtId="0" fontId="49" fillId="10" borderId="105" xfId="0" applyFont="1" applyFill="1" applyBorder="1" applyAlignment="1">
      <alignment wrapText="1" shrinkToFit="1"/>
    </xf>
    <xf numFmtId="0" fontId="26" fillId="8" borderId="79" xfId="5" applyFont="1" applyFill="1" applyBorder="1" applyAlignment="1" applyProtection="1">
      <alignment horizontal="left" vertical="center"/>
      <protection hidden="1"/>
    </xf>
    <xf numFmtId="0" fontId="0" fillId="0" borderId="80" xfId="0" applyBorder="1" applyAlignment="1" applyProtection="1">
      <alignment horizontal="left" vertical="center"/>
      <protection hidden="1"/>
    </xf>
    <xf numFmtId="0" fontId="53" fillId="18" borderId="110" xfId="11" applyFont="1" applyFill="1" applyBorder="1" applyAlignment="1" applyProtection="1"/>
    <xf numFmtId="0" fontId="70" fillId="18" borderId="30" xfId="0" applyFont="1" applyFill="1" applyBorder="1"/>
    <xf numFmtId="176" fontId="31" fillId="18" borderId="30" xfId="11" applyNumberFormat="1" applyFont="1" applyFill="1" applyBorder="1" applyAlignment="1" applyProtection="1">
      <alignment horizontal="left" vertical="center"/>
    </xf>
    <xf numFmtId="0" fontId="70" fillId="18" borderId="30" xfId="0" applyFont="1" applyFill="1" applyBorder="1" applyAlignment="1">
      <alignment horizontal="left" vertical="center"/>
    </xf>
    <xf numFmtId="0" fontId="70" fillId="18" borderId="66" xfId="0" applyFont="1" applyFill="1" applyBorder="1" applyAlignment="1">
      <alignment horizontal="left" vertical="center"/>
    </xf>
    <xf numFmtId="0" fontId="0" fillId="0" borderId="76" xfId="0" applyBorder="1" applyAlignment="1">
      <alignment vertical="center"/>
    </xf>
    <xf numFmtId="176" fontId="52" fillId="13" borderId="66" xfId="11" applyNumberFormat="1" applyFont="1" applyFill="1" applyBorder="1" applyAlignment="1" applyProtection="1">
      <alignment horizontal="left" vertical="center"/>
    </xf>
    <xf numFmtId="0" fontId="69" fillId="19" borderId="110" xfId="10" applyFont="1" applyFill="1" applyBorder="1" applyAlignment="1" applyProtection="1">
      <alignment horizontal="left" vertical="center"/>
      <protection hidden="1"/>
    </xf>
    <xf numFmtId="0" fontId="70" fillId="19" borderId="30" xfId="0" applyFont="1" applyFill="1" applyBorder="1" applyAlignment="1" applyProtection="1">
      <alignment horizontal="left" vertical="center"/>
      <protection hidden="1"/>
    </xf>
    <xf numFmtId="176" fontId="69" fillId="19" borderId="30" xfId="10" applyNumberFormat="1" applyFont="1" applyFill="1" applyBorder="1" applyAlignment="1" applyProtection="1">
      <alignment horizontal="left" vertical="center"/>
      <protection hidden="1"/>
    </xf>
    <xf numFmtId="0" fontId="72" fillId="19" borderId="30" xfId="0" applyFont="1" applyFill="1" applyBorder="1" applyAlignment="1" applyProtection="1">
      <alignment horizontal="left" vertical="center"/>
      <protection hidden="1"/>
    </xf>
    <xf numFmtId="0" fontId="72" fillId="19" borderId="66" xfId="0" applyFont="1" applyFill="1" applyBorder="1" applyProtection="1">
      <protection hidden="1"/>
    </xf>
    <xf numFmtId="0" fontId="69" fillId="12" borderId="30" xfId="10" applyFont="1" applyFill="1" applyBorder="1" applyAlignment="1" applyProtection="1">
      <alignment horizontal="right" vertical="center"/>
    </xf>
    <xf numFmtId="0" fontId="70" fillId="0" borderId="30" xfId="0" applyFont="1" applyBorder="1" applyAlignment="1">
      <alignment horizontal="right" vertical="center"/>
    </xf>
    <xf numFmtId="0" fontId="6" fillId="6" borderId="30" xfId="7" applyFont="1" applyFill="1" applyBorder="1" applyAlignment="1" applyProtection="1">
      <alignment wrapText="1"/>
      <protection hidden="1"/>
    </xf>
    <xf numFmtId="0" fontId="0" fillId="6" borderId="30" xfId="0" applyFill="1" applyBorder="1" applyAlignment="1">
      <alignment wrapText="1"/>
    </xf>
    <xf numFmtId="0" fontId="26" fillId="10" borderId="33" xfId="7" applyFont="1" applyFill="1" applyBorder="1" applyAlignment="1" applyProtection="1">
      <alignment vertical="top" wrapText="1"/>
      <protection hidden="1"/>
    </xf>
    <xf numFmtId="0" fontId="0" fillId="0" borderId="0" xfId="0" applyAlignment="1">
      <alignment wrapText="1"/>
    </xf>
    <xf numFmtId="0" fontId="0" fillId="0" borderId="33" xfId="0" applyBorder="1" applyAlignment="1">
      <alignment wrapText="1"/>
    </xf>
    <xf numFmtId="0" fontId="25" fillId="4" borderId="65" xfId="7" applyFont="1" applyFill="1" applyBorder="1" applyAlignment="1" applyProtection="1">
      <alignment horizontal="left" vertical="center" wrapText="1"/>
      <protection locked="0" hidden="1"/>
    </xf>
    <xf numFmtId="0" fontId="25" fillId="4" borderId="30" xfId="0" applyFont="1" applyFill="1" applyBorder="1" applyAlignment="1" applyProtection="1">
      <alignment horizontal="left" vertical="center" wrapText="1"/>
      <protection locked="0"/>
    </xf>
    <xf numFmtId="0" fontId="25" fillId="4" borderId="66" xfId="0" applyFont="1" applyFill="1" applyBorder="1" applyAlignment="1" applyProtection="1">
      <alignment horizontal="left" vertical="center" wrapText="1"/>
      <protection locked="0"/>
    </xf>
    <xf numFmtId="0" fontId="25" fillId="4" borderId="29" xfId="7" applyFont="1" applyFill="1" applyBorder="1" applyAlignment="1" applyProtection="1">
      <alignment horizontal="left" vertical="center" wrapText="1"/>
      <protection locked="0" hidden="1"/>
    </xf>
    <xf numFmtId="0" fontId="25" fillId="4" borderId="31" xfId="0" applyFont="1" applyFill="1" applyBorder="1" applyAlignment="1" applyProtection="1">
      <alignment horizontal="left" vertical="center" wrapText="1"/>
      <protection locked="0"/>
    </xf>
    <xf numFmtId="0" fontId="25" fillId="4" borderId="32" xfId="0" applyFont="1" applyFill="1" applyBorder="1" applyAlignment="1" applyProtection="1">
      <alignment horizontal="left" vertical="center" wrapText="1"/>
      <protection locked="0"/>
    </xf>
    <xf numFmtId="0" fontId="25" fillId="4" borderId="33" xfId="0" applyFont="1" applyFill="1" applyBorder="1" applyAlignment="1" applyProtection="1">
      <alignment horizontal="left" vertical="center" wrapText="1"/>
      <protection locked="0"/>
    </xf>
    <xf numFmtId="0" fontId="25" fillId="4" borderId="0" xfId="0" applyFont="1" applyFill="1" applyAlignment="1" applyProtection="1">
      <alignment horizontal="left" vertical="center" wrapText="1"/>
      <protection locked="0"/>
    </xf>
    <xf numFmtId="0" fontId="25" fillId="4" borderId="28" xfId="0" applyFont="1" applyFill="1" applyBorder="1" applyAlignment="1" applyProtection="1">
      <alignment horizontal="left" vertical="center" wrapText="1"/>
      <protection locked="0"/>
    </xf>
    <xf numFmtId="0" fontId="25" fillId="4" borderId="67" xfId="0" applyFont="1" applyFill="1" applyBorder="1" applyAlignment="1" applyProtection="1">
      <alignment horizontal="left" vertical="center" wrapText="1"/>
      <protection locked="0"/>
    </xf>
    <xf numFmtId="0" fontId="25" fillId="4" borderId="47" xfId="0" applyFont="1" applyFill="1" applyBorder="1" applyAlignment="1" applyProtection="1">
      <alignment horizontal="left" vertical="center" wrapText="1"/>
      <protection locked="0"/>
    </xf>
    <xf numFmtId="0" fontId="25" fillId="4" borderId="68" xfId="0" applyFont="1" applyFill="1" applyBorder="1" applyAlignment="1" applyProtection="1">
      <alignment horizontal="left" vertical="center" wrapText="1"/>
      <protection locked="0"/>
    </xf>
    <xf numFmtId="0" fontId="11" fillId="4" borderId="65" xfId="4" applyFont="1" applyFill="1" applyBorder="1" applyAlignment="1" applyProtection="1">
      <alignment horizontal="left" vertical="center" wrapText="1"/>
      <protection locked="0" hidden="1"/>
    </xf>
    <xf numFmtId="0" fontId="48" fillId="4" borderId="30" xfId="0" applyFont="1" applyFill="1" applyBorder="1" applyAlignment="1" applyProtection="1">
      <alignment horizontal="left" vertical="center" wrapText="1"/>
      <protection locked="0"/>
    </xf>
    <xf numFmtId="0" fontId="48" fillId="4" borderId="66" xfId="0" applyFont="1" applyFill="1" applyBorder="1" applyAlignment="1" applyProtection="1">
      <alignment horizontal="left" vertical="center" wrapText="1"/>
      <protection locked="0"/>
    </xf>
    <xf numFmtId="0" fontId="33" fillId="0" borderId="35" xfId="7" applyFont="1" applyBorder="1" applyAlignment="1" applyProtection="1">
      <alignment horizontal="center" vertical="center" wrapText="1"/>
      <protection hidden="1"/>
    </xf>
    <xf numFmtId="0" fontId="0" fillId="0" borderId="31" xfId="0" applyBorder="1" applyAlignment="1">
      <alignment horizontal="center" vertical="center" wrapText="1"/>
    </xf>
    <xf numFmtId="0" fontId="0" fillId="0" borderId="36" xfId="0" applyBorder="1" applyAlignment="1">
      <alignment horizontal="center" vertical="center" wrapText="1"/>
    </xf>
    <xf numFmtId="0" fontId="0" fillId="0" borderId="40" xfId="0" applyBorder="1" applyAlignment="1">
      <alignment horizontal="center" vertical="center" wrapText="1"/>
    </xf>
    <xf numFmtId="0" fontId="0" fillId="0" borderId="0" xfId="0" applyAlignment="1">
      <alignment horizontal="center" vertical="center" wrapText="1"/>
    </xf>
    <xf numFmtId="0" fontId="0" fillId="0" borderId="41" xfId="0" applyBorder="1" applyAlignment="1">
      <alignment horizontal="center" vertical="center" wrapText="1"/>
    </xf>
    <xf numFmtId="0" fontId="0" fillId="0" borderId="46" xfId="0" applyBorder="1" applyAlignment="1">
      <alignment vertical="center" wrapText="1"/>
    </xf>
    <xf numFmtId="0" fontId="0" fillId="0" borderId="47" xfId="0" applyBorder="1" applyAlignment="1">
      <alignment vertical="center" wrapText="1"/>
    </xf>
    <xf numFmtId="0" fontId="0" fillId="0" borderId="48" xfId="0" applyBorder="1" applyAlignment="1">
      <alignment vertical="center" wrapText="1"/>
    </xf>
    <xf numFmtId="0" fontId="25" fillId="9" borderId="55" xfId="7" applyFont="1" applyFill="1" applyBorder="1" applyAlignment="1" applyProtection="1">
      <alignment horizontal="left" vertical="center" wrapText="1"/>
      <protection hidden="1"/>
    </xf>
    <xf numFmtId="0" fontId="4" fillId="9" borderId="55" xfId="0" applyFont="1" applyFill="1" applyBorder="1" applyAlignment="1">
      <alignment horizontal="left" vertical="center" wrapText="1"/>
    </xf>
    <xf numFmtId="0" fontId="67" fillId="0" borderId="29" xfId="7" applyFont="1" applyBorder="1" applyAlignment="1" applyProtection="1">
      <alignment horizontal="left" vertical="center" wrapText="1"/>
      <protection hidden="1"/>
    </xf>
    <xf numFmtId="0" fontId="68" fillId="0" borderId="31" xfId="0" applyFont="1" applyBorder="1" applyAlignment="1">
      <alignment horizontal="left" vertical="center" wrapText="1"/>
    </xf>
    <xf numFmtId="0" fontId="68" fillId="0" borderId="32" xfId="0" applyFont="1" applyBorder="1" applyAlignment="1">
      <alignment horizontal="left" vertical="center" wrapText="1"/>
    </xf>
    <xf numFmtId="0" fontId="68" fillId="0" borderId="33" xfId="0" applyFont="1" applyBorder="1" applyAlignment="1">
      <alignment horizontal="left" vertical="center" wrapText="1"/>
    </xf>
    <xf numFmtId="0" fontId="68" fillId="0" borderId="0" xfId="0" applyFont="1" applyAlignment="1">
      <alignment horizontal="left" vertical="center" wrapText="1"/>
    </xf>
    <xf numFmtId="0" fontId="68" fillId="0" borderId="28" xfId="0" applyFont="1" applyBorder="1" applyAlignment="1">
      <alignment horizontal="left" vertical="center" wrapText="1"/>
    </xf>
    <xf numFmtId="0" fontId="68" fillId="0" borderId="57" xfId="0" applyFont="1" applyBorder="1" applyAlignment="1">
      <alignment horizontal="left" vertical="center" wrapText="1"/>
    </xf>
    <xf numFmtId="0" fontId="68" fillId="0" borderId="58" xfId="0" applyFont="1" applyBorder="1" applyAlignment="1">
      <alignment horizontal="left" vertical="center" wrapText="1"/>
    </xf>
    <xf numFmtId="0" fontId="68" fillId="0" borderId="59" xfId="0" applyFont="1" applyBorder="1" applyAlignment="1">
      <alignment horizontal="left" vertical="center" wrapText="1"/>
    </xf>
    <xf numFmtId="0" fontId="38" fillId="0" borderId="38" xfId="4" applyFont="1" applyFill="1" applyBorder="1" applyAlignment="1" applyProtection="1">
      <alignment vertical="top" wrapText="1"/>
      <protection hidden="1"/>
    </xf>
    <xf numFmtId="0" fontId="38" fillId="0" borderId="60" xfId="4" applyFont="1" applyFill="1" applyBorder="1" applyAlignment="1" applyProtection="1">
      <alignment vertical="top" wrapText="1"/>
      <protection hidden="1"/>
    </xf>
    <xf numFmtId="0" fontId="38" fillId="0" borderId="62" xfId="4" applyFont="1" applyFill="1" applyBorder="1" applyAlignment="1" applyProtection="1">
      <alignment vertical="top" wrapText="1"/>
      <protection hidden="1"/>
    </xf>
    <xf numFmtId="0" fontId="38" fillId="0" borderId="63" xfId="4" applyFont="1" applyFill="1" applyBorder="1" applyAlignment="1" applyProtection="1">
      <alignment vertical="top" wrapText="1"/>
      <protection hidden="1"/>
    </xf>
    <xf numFmtId="0" fontId="38" fillId="0" borderId="43" xfId="4" applyFont="1" applyFill="1" applyBorder="1" applyAlignment="1" applyProtection="1">
      <alignment vertical="top" wrapText="1"/>
      <protection hidden="1"/>
    </xf>
    <xf numFmtId="0" fontId="38" fillId="0" borderId="44" xfId="4" applyFont="1" applyFill="1" applyBorder="1" applyAlignment="1" applyProtection="1">
      <alignment vertical="top" wrapText="1"/>
      <protection hidden="1"/>
    </xf>
    <xf numFmtId="0" fontId="6" fillId="6" borderId="47" xfId="7" applyFont="1" applyFill="1" applyBorder="1" applyAlignment="1" applyProtection="1">
      <alignment wrapText="1"/>
      <protection hidden="1"/>
    </xf>
    <xf numFmtId="0" fontId="0" fillId="6" borderId="47" xfId="0" applyFill="1" applyBorder="1" applyAlignment="1">
      <alignment wrapText="1"/>
    </xf>
    <xf numFmtId="0" fontId="43" fillId="10" borderId="33" xfId="7" applyFont="1" applyFill="1" applyBorder="1" applyAlignment="1" applyProtection="1">
      <alignment horizontal="justify" vertical="top" wrapText="1"/>
      <protection hidden="1"/>
    </xf>
    <xf numFmtId="0" fontId="18" fillId="10" borderId="0" xfId="0" applyFont="1" applyFill="1" applyAlignment="1">
      <alignment horizontal="justify" vertical="top" wrapText="1"/>
    </xf>
    <xf numFmtId="0" fontId="18" fillId="10" borderId="28" xfId="0" applyFont="1" applyFill="1" applyBorder="1" applyAlignment="1">
      <alignment horizontal="justify" vertical="top" wrapText="1"/>
    </xf>
    <xf numFmtId="0" fontId="26" fillId="10" borderId="33" xfId="7" applyFont="1" applyFill="1" applyBorder="1" applyAlignment="1" applyProtection="1">
      <alignment horizontal="justify" vertical="top" wrapText="1"/>
      <protection hidden="1"/>
    </xf>
    <xf numFmtId="0" fontId="26" fillId="10" borderId="0" xfId="7" applyFont="1" applyFill="1" applyAlignment="1" applyProtection="1">
      <alignment horizontal="justify" vertical="top" wrapText="1"/>
      <protection hidden="1"/>
    </xf>
    <xf numFmtId="0" fontId="26" fillId="10" borderId="28" xfId="7" applyFont="1" applyFill="1" applyBorder="1" applyAlignment="1" applyProtection="1">
      <alignment horizontal="justify" vertical="top" wrapText="1"/>
      <protection hidden="1"/>
    </xf>
    <xf numFmtId="0" fontId="26" fillId="10" borderId="67" xfId="0" applyFont="1" applyFill="1" applyBorder="1" applyAlignment="1" applyProtection="1">
      <alignment wrapText="1"/>
      <protection hidden="1"/>
    </xf>
    <xf numFmtId="0" fontId="26" fillId="10" borderId="47" xfId="0" applyFont="1" applyFill="1" applyBorder="1" applyAlignment="1" applyProtection="1">
      <alignment wrapText="1"/>
      <protection hidden="1"/>
    </xf>
    <xf numFmtId="0" fontId="26" fillId="10" borderId="68" xfId="0" applyFont="1" applyFill="1" applyBorder="1" applyAlignment="1" applyProtection="1">
      <alignment wrapText="1"/>
      <protection hidden="1"/>
    </xf>
    <xf numFmtId="0" fontId="6" fillId="6" borderId="31" xfId="7" applyFont="1" applyFill="1" applyBorder="1" applyAlignment="1" applyProtection="1">
      <alignment wrapText="1"/>
      <protection hidden="1"/>
    </xf>
    <xf numFmtId="0" fontId="0" fillId="6" borderId="31" xfId="0" applyFill="1" applyBorder="1" applyAlignment="1">
      <alignment wrapText="1"/>
    </xf>
    <xf numFmtId="0" fontId="26" fillId="10" borderId="0" xfId="0" applyFont="1" applyFill="1" applyAlignment="1">
      <alignment horizontal="justify" vertical="top" wrapText="1"/>
    </xf>
    <xf numFmtId="0" fontId="26" fillId="10" borderId="28" xfId="0" applyFont="1" applyFill="1" applyBorder="1" applyAlignment="1">
      <alignment horizontal="justify" vertical="top" wrapText="1"/>
    </xf>
    <xf numFmtId="0" fontId="26" fillId="10" borderId="33" xfId="0" applyFont="1" applyFill="1" applyBorder="1" applyAlignment="1">
      <alignment horizontal="justify" vertical="top" wrapText="1"/>
    </xf>
    <xf numFmtId="1" fontId="9" fillId="0" borderId="4" xfId="5" applyNumberFormat="1" applyFont="1" applyBorder="1" applyAlignment="1" applyProtection="1">
      <alignment horizontal="center" vertical="center" wrapText="1"/>
      <protection hidden="1"/>
    </xf>
  </cellXfs>
  <cellStyles count="12">
    <cellStyle name="Calculation" xfId="3" builtinId="22"/>
    <cellStyle name="Currency" xfId="1" builtinId="4"/>
    <cellStyle name="Currency 2" xfId="9" xr:uid="{BFFD58ED-6A81-44E4-A35F-F919AAE3DFC5}"/>
    <cellStyle name="Hyperlink" xfId="4" builtinId="8"/>
    <cellStyle name="Hyperlink 2 2" xfId="6" xr:uid="{3A1DC2E7-1E03-4EC3-8C72-3036E0E99DA9}"/>
    <cellStyle name="Input" xfId="2" builtinId="20"/>
    <cellStyle name="Neutral" xfId="10" builtinId="28"/>
    <cellStyle name="Normal" xfId="0" builtinId="0"/>
    <cellStyle name="Normal 2" xfId="5" xr:uid="{046F5742-B43C-4F1F-8177-2C80F337DC3F}"/>
    <cellStyle name="Normal 4" xfId="8" xr:uid="{DF096AD9-D0D3-49C8-AC8B-7E87446AC85D}"/>
    <cellStyle name="Normal_Barsched" xfId="7" xr:uid="{6F3CBEB4-18C1-429D-93C3-A4733B9877D2}"/>
    <cellStyle name="Note" xfId="11" builtinId="10"/>
  </cellStyles>
  <dxfs count="31">
    <dxf>
      <numFmt numFmtId="166" formatCode="&quot;£&quot;#,##0.00"/>
    </dxf>
    <dxf>
      <numFmt numFmtId="194" formatCode="[$$-409]#,##0.00"/>
    </dxf>
    <dxf>
      <numFmt numFmtId="195" formatCode="[$€-2]\ #,##0.00"/>
    </dxf>
    <dxf>
      <numFmt numFmtId="166" formatCode="&quot;£&quot;#,##0.00"/>
    </dxf>
    <dxf>
      <numFmt numFmtId="194" formatCode="[$$-409]#,##0.00"/>
    </dxf>
    <dxf>
      <numFmt numFmtId="195" formatCode="[$€-2]\ #,##0.00"/>
    </dxf>
    <dxf>
      <numFmt numFmtId="166" formatCode="&quot;£&quot;#,##0.00"/>
    </dxf>
    <dxf>
      <numFmt numFmtId="194" formatCode="[$$-409]#,##0.00"/>
    </dxf>
    <dxf>
      <numFmt numFmtId="195" formatCode="[$€-2]\ #,##0.00"/>
    </dxf>
    <dxf>
      <numFmt numFmtId="166" formatCode="&quot;£&quot;#,##0.00"/>
    </dxf>
    <dxf>
      <numFmt numFmtId="194" formatCode="[$$-409]#,##0.00"/>
    </dxf>
    <dxf>
      <numFmt numFmtId="195" formatCode="[$€-2]\ #,##0.00"/>
    </dxf>
    <dxf>
      <numFmt numFmtId="166" formatCode="&quot;£&quot;#,##0.00"/>
    </dxf>
    <dxf>
      <numFmt numFmtId="194" formatCode="[$$-409]#,##0.00"/>
    </dxf>
    <dxf>
      <numFmt numFmtId="195" formatCode="[$€-2]\ #,##0.00"/>
    </dxf>
    <dxf>
      <numFmt numFmtId="166" formatCode="&quot;£&quot;#,##0.00"/>
    </dxf>
    <dxf>
      <numFmt numFmtId="194" formatCode="[$$-409]#,##0.00"/>
    </dxf>
    <dxf>
      <numFmt numFmtId="195" formatCode="[$€-2]\ #,##0.00"/>
    </dxf>
    <dxf>
      <numFmt numFmtId="166" formatCode="&quot;£&quot;#,##0.00"/>
    </dxf>
    <dxf>
      <numFmt numFmtId="194" formatCode="[$$-409]#,##0.00"/>
    </dxf>
    <dxf>
      <numFmt numFmtId="195" formatCode="[$€-2]\ #,##0.00"/>
    </dxf>
    <dxf>
      <numFmt numFmtId="0" formatCode="General"/>
    </dxf>
    <dxf>
      <numFmt numFmtId="0" formatCode="General"/>
    </dxf>
    <dxf>
      <numFmt numFmtId="0" formatCode="General"/>
    </dxf>
    <dxf>
      <numFmt numFmtId="0" formatCode="General"/>
    </dxf>
    <dxf>
      <font>
        <b val="0"/>
        <i val="0"/>
      </font>
    </dxf>
    <dxf>
      <font>
        <b/>
        <i val="0"/>
      </font>
    </dxf>
    <dxf>
      <font>
        <b/>
        <i val="0"/>
        <color theme="3"/>
      </font>
      <fill>
        <patternFill>
          <bgColor theme="4"/>
        </patternFill>
      </fill>
    </dxf>
    <dxf>
      <font>
        <b val="0"/>
        <i val="0"/>
      </font>
    </dxf>
    <dxf>
      <font>
        <b/>
        <i val="0"/>
      </font>
    </dxf>
    <dxf>
      <font>
        <b/>
        <i val="0"/>
      </font>
    </dxf>
  </dxfs>
  <tableStyles count="2" defaultTableStyle="TableStyleMedium2" defaultPivotStyle="PivotStyleLight16">
    <tableStyle name="Budget" pivot="0" count="3" xr9:uid="{83D0EE44-B62E-4641-A310-0AA198B80C9A}">
      <tableStyleElement type="headerRow" dxfId="30"/>
      <tableStyleElement type="totalRow" dxfId="29"/>
      <tableStyleElement type="firstColumn" dxfId="28"/>
    </tableStyle>
    <tableStyle name="Transportation" pivot="0" count="3" xr9:uid="{31F22DBD-4C35-4395-82B8-C9CB27571DC0}">
      <tableStyleElement type="headerRow" dxfId="27"/>
      <tableStyleElement type="totalRow" dxfId="26"/>
      <tableStyleElement type="firstColumn" dxfId="25"/>
    </tableStyle>
  </tableStyles>
  <colors>
    <mruColors>
      <color rgb="FFFFEB9C"/>
      <color rgb="FFFFCC99"/>
      <color rgb="FF0000FF"/>
      <color rgb="FFFF9900"/>
      <color rgb="FFFFD966"/>
      <color rgb="FFFFCCCC"/>
      <color rgb="FFFF6600"/>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1.xml"/><Relationship Id="rId5" Type="http://schemas.openxmlformats.org/officeDocument/2006/relationships/theme" Target="theme/theme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1</xdr:col>
      <xdr:colOff>10886</xdr:colOff>
      <xdr:row>1</xdr:row>
      <xdr:rowOff>10886</xdr:rowOff>
    </xdr:from>
    <xdr:to>
      <xdr:col>3</xdr:col>
      <xdr:colOff>408214</xdr:colOff>
      <xdr:row>3</xdr:row>
      <xdr:rowOff>266700</xdr:rowOff>
    </xdr:to>
    <xdr:pic>
      <xdr:nvPicPr>
        <xdr:cNvPr id="3" name="Picture 2" descr="A picture containing object&#10;&#10;Description generated with high confidence">
          <a:extLst>
            <a:ext uri="{FF2B5EF4-FFF2-40B4-BE49-F238E27FC236}">
              <a16:creationId xmlns:a16="http://schemas.microsoft.com/office/drawing/2014/main" id="{0CE93127-1A42-4D6E-8820-105D55A19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3657" y="201386"/>
          <a:ext cx="1703614"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10</xdr:col>
      <xdr:colOff>228600</xdr:colOff>
      <xdr:row>1</xdr:row>
      <xdr:rowOff>10886</xdr:rowOff>
    </xdr:from>
    <xdr:to>
      <xdr:col>13</xdr:col>
      <xdr:colOff>1762</xdr:colOff>
      <xdr:row>3</xdr:row>
      <xdr:rowOff>266700</xdr:rowOff>
    </xdr:to>
    <xdr:pic>
      <xdr:nvPicPr>
        <xdr:cNvPr id="4" name="Picture 3" descr="A picture containing object&#10;&#10;Description generated with high confidence">
          <a:extLst>
            <a:ext uri="{FF2B5EF4-FFF2-40B4-BE49-F238E27FC236}">
              <a16:creationId xmlns:a16="http://schemas.microsoft.com/office/drawing/2014/main" id="{0AB190EE-2EB9-4E76-9BF9-3D04FB70D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57357" y="201386"/>
          <a:ext cx="170361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92529</xdr:colOff>
      <xdr:row>9</xdr:row>
      <xdr:rowOff>0</xdr:rowOff>
    </xdr:from>
    <xdr:to>
      <xdr:col>5</xdr:col>
      <xdr:colOff>99294</xdr:colOff>
      <xdr:row>12</xdr:row>
      <xdr:rowOff>33808</xdr:rowOff>
    </xdr:to>
    <xdr:sp macro="" textlink="">
      <xdr:nvSpPr>
        <xdr:cNvPr id="2" name="List Box 96" hidden="1">
          <a:extLst>
            <a:ext uri="{FF2B5EF4-FFF2-40B4-BE49-F238E27FC236}">
              <a16:creationId xmlns:a16="http://schemas.microsoft.com/office/drawing/2014/main" id="{A5701918-BB4A-4AF1-A691-04D0C387BAAA}"/>
            </a:ext>
          </a:extLst>
        </xdr:cNvPr>
        <xdr:cNvSpPr>
          <a:spLocks noChangeArrowheads="1"/>
        </xdr:cNvSpPr>
      </xdr:nvSpPr>
      <xdr:spPr bwMode="auto">
        <a:xfrm>
          <a:off x="2498272" y="1649186"/>
          <a:ext cx="25908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3</xdr:col>
      <xdr:colOff>92529</xdr:colOff>
      <xdr:row>9</xdr:row>
      <xdr:rowOff>0</xdr:rowOff>
    </xdr:from>
    <xdr:to>
      <xdr:col>5</xdr:col>
      <xdr:colOff>99294</xdr:colOff>
      <xdr:row>12</xdr:row>
      <xdr:rowOff>33808</xdr:rowOff>
    </xdr:to>
    <xdr:sp macro="" textlink="">
      <xdr:nvSpPr>
        <xdr:cNvPr id="5" name="List Box 96" hidden="1">
          <a:extLst>
            <a:ext uri="{FF2B5EF4-FFF2-40B4-BE49-F238E27FC236}">
              <a16:creationId xmlns:a16="http://schemas.microsoft.com/office/drawing/2014/main" id="{625912E3-78EF-4496-AA3C-D39AA20C22BE}"/>
            </a:ext>
          </a:extLst>
        </xdr:cNvPr>
        <xdr:cNvSpPr>
          <a:spLocks noChangeArrowheads="1"/>
        </xdr:cNvSpPr>
      </xdr:nvSpPr>
      <xdr:spPr bwMode="auto">
        <a:xfrm>
          <a:off x="2498272" y="1649186"/>
          <a:ext cx="25908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absolute">
    <xdr:from>
      <xdr:col>2</xdr:col>
      <xdr:colOff>845551</xdr:colOff>
      <xdr:row>0</xdr:row>
      <xdr:rowOff>16488</xdr:rowOff>
    </xdr:from>
    <xdr:to>
      <xdr:col>3</xdr:col>
      <xdr:colOff>437172</xdr:colOff>
      <xdr:row>2</xdr:row>
      <xdr:rowOff>216354</xdr:rowOff>
    </xdr:to>
    <xdr:pic>
      <xdr:nvPicPr>
        <xdr:cNvPr id="6" name="Picture 5" descr="A picture containing object&#10;&#10;Description generated with high confidence">
          <a:extLst>
            <a:ext uri="{FF2B5EF4-FFF2-40B4-BE49-F238E27FC236}">
              <a16:creationId xmlns:a16="http://schemas.microsoft.com/office/drawing/2014/main" id="{A5920CF9-C7A3-4727-98A6-1EA34E8BCF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6193" y="19209"/>
          <a:ext cx="1981433" cy="934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294555</xdr:colOff>
      <xdr:row>10</xdr:row>
      <xdr:rowOff>25612</xdr:rowOff>
    </xdr:from>
    <xdr:to>
      <xdr:col>2</xdr:col>
      <xdr:colOff>2010657</xdr:colOff>
      <xdr:row>14</xdr:row>
      <xdr:rowOff>198179</xdr:rowOff>
    </xdr:to>
    <xdr:grpSp>
      <xdr:nvGrpSpPr>
        <xdr:cNvPr id="13" name="Group 12">
          <a:extLst>
            <a:ext uri="{FF2B5EF4-FFF2-40B4-BE49-F238E27FC236}">
              <a16:creationId xmlns:a16="http://schemas.microsoft.com/office/drawing/2014/main" id="{692FBE23-F860-4350-AA4E-18C078583382}"/>
            </a:ext>
          </a:extLst>
        </xdr:cNvPr>
        <xdr:cNvGrpSpPr/>
      </xdr:nvGrpSpPr>
      <xdr:grpSpPr>
        <a:xfrm>
          <a:off x="294555" y="2524524"/>
          <a:ext cx="1716102" cy="945773"/>
          <a:chOff x="531477" y="2145125"/>
          <a:chExt cx="1716102" cy="960180"/>
        </a:xfrm>
      </xdr:grpSpPr>
      <xdr:sp macro="" textlink="">
        <xdr:nvSpPr>
          <xdr:cNvPr id="7" name="Arrow: Right 6">
            <a:extLst>
              <a:ext uri="{FF2B5EF4-FFF2-40B4-BE49-F238E27FC236}">
                <a16:creationId xmlns:a16="http://schemas.microsoft.com/office/drawing/2014/main" id="{9760486F-E60A-4ACD-9671-79402034EA4F}"/>
              </a:ext>
            </a:extLst>
          </xdr:cNvPr>
          <xdr:cNvSpPr/>
        </xdr:nvSpPr>
        <xdr:spPr>
          <a:xfrm>
            <a:off x="1837766" y="2266790"/>
            <a:ext cx="397008" cy="128067"/>
          </a:xfrm>
          <a:prstGeom prst="rightArrow">
            <a:avLst/>
          </a:prstGeom>
          <a:solidFill>
            <a:srgbClr val="C0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nvGrpSpPr>
          <xdr:cNvPr id="12" name="Group 11">
            <a:extLst>
              <a:ext uri="{FF2B5EF4-FFF2-40B4-BE49-F238E27FC236}">
                <a16:creationId xmlns:a16="http://schemas.microsoft.com/office/drawing/2014/main" id="{70EFD8A1-6E55-4153-A5B7-49377A526656}"/>
              </a:ext>
            </a:extLst>
          </xdr:cNvPr>
          <xdr:cNvGrpSpPr/>
        </xdr:nvGrpSpPr>
        <xdr:grpSpPr>
          <a:xfrm>
            <a:off x="531477" y="2145125"/>
            <a:ext cx="1716102" cy="960180"/>
            <a:chOff x="531477" y="2145125"/>
            <a:chExt cx="1716102" cy="960180"/>
          </a:xfrm>
        </xdr:grpSpPr>
        <xdr:pic>
          <xdr:nvPicPr>
            <xdr:cNvPr id="8" name="Picture 7">
              <a:extLst>
                <a:ext uri="{FF2B5EF4-FFF2-40B4-BE49-F238E27FC236}">
                  <a16:creationId xmlns:a16="http://schemas.microsoft.com/office/drawing/2014/main" id="{C88A7C26-9A30-40C1-B430-608CD4C09D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1477" y="2145125"/>
              <a:ext cx="1229448" cy="96018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9" name="Arrow: Right 8">
              <a:extLst>
                <a:ext uri="{FF2B5EF4-FFF2-40B4-BE49-F238E27FC236}">
                  <a16:creationId xmlns:a16="http://schemas.microsoft.com/office/drawing/2014/main" id="{98657BE7-1EE4-4079-AF2C-51DDBCF87AAB}"/>
                </a:ext>
              </a:extLst>
            </xdr:cNvPr>
            <xdr:cNvSpPr/>
          </xdr:nvSpPr>
          <xdr:spPr>
            <a:xfrm>
              <a:off x="1844168" y="2497306"/>
              <a:ext cx="397008" cy="128067"/>
            </a:xfrm>
            <a:prstGeom prst="rightArrow">
              <a:avLst/>
            </a:prstGeom>
            <a:solidFill>
              <a:srgbClr val="C0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10" name="Arrow: Right 9">
              <a:extLst>
                <a:ext uri="{FF2B5EF4-FFF2-40B4-BE49-F238E27FC236}">
                  <a16:creationId xmlns:a16="http://schemas.microsoft.com/office/drawing/2014/main" id="{702F3A57-6A68-4705-BC51-869AD91C3EAC}"/>
                </a:ext>
              </a:extLst>
            </xdr:cNvPr>
            <xdr:cNvSpPr/>
          </xdr:nvSpPr>
          <xdr:spPr>
            <a:xfrm>
              <a:off x="1850571" y="2734230"/>
              <a:ext cx="397008" cy="128067"/>
            </a:xfrm>
            <a:prstGeom prst="rightArrow">
              <a:avLst/>
            </a:prstGeom>
            <a:solidFill>
              <a:srgbClr val="C0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2</xdr:col>
      <xdr:colOff>70511</xdr:colOff>
      <xdr:row>0</xdr:row>
      <xdr:rowOff>48987</xdr:rowOff>
    </xdr:from>
    <xdr:to>
      <xdr:col>2</xdr:col>
      <xdr:colOff>1200731</xdr:colOff>
      <xdr:row>2</xdr:row>
      <xdr:rowOff>158946</xdr:rowOff>
    </xdr:to>
    <xdr:pic>
      <xdr:nvPicPr>
        <xdr:cNvPr id="2" name="Picture 1" descr="A picture containing object&#10;&#10;Description generated with high confidence">
          <a:extLst>
            <a:ext uri="{FF2B5EF4-FFF2-40B4-BE49-F238E27FC236}">
              <a16:creationId xmlns:a16="http://schemas.microsoft.com/office/drawing/2014/main" id="{783B0E69-71B0-49AF-BB02-F4C1B467DE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8238" y="48987"/>
          <a:ext cx="1130220" cy="5311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2" xr16:uid="{F36CDB4D-9C40-470C-8980-C34827E3E4AE}" autoFormatId="16" applyNumberFormats="0" applyBorderFormats="0" applyFontFormats="0" applyPatternFormats="0" applyAlignmentFormats="0" applyWidthHeightFormats="0">
  <queryTableRefresh nextId="7">
    <queryTableFields count="6">
      <queryTableField id="1" name="Currency Name" tableColumnId="1"/>
      <queryTableField id="2" name="Code" tableColumnId="2"/>
      <queryTableField id="3" name="1 GBP" tableColumnId="3"/>
      <queryTableField id="4" name="in GBP" tableColumnId="4"/>
      <queryTableField id="5" name="Converter" tableColumnId="5"/>
      <queryTableField id="6" name="Chart" tableColumnId="6"/>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B228F8D-1E9A-4189-83A3-0F05ACFC2E84}" name="Table_1" displayName="Table_1" ref="A1:F147" tableType="queryTable" totalsRowShown="0">
  <autoFilter ref="A1:F147" xr:uid="{3A0DF2D6-2722-416D-8F9A-0923F50C90F2}"/>
  <tableColumns count="6">
    <tableColumn id="1" xr3:uid="{8D2C0972-FF30-4195-9B69-041FAE8DF67D}" uniqueName="1" name="Currency Name" queryTableFieldId="1" dataDxfId="24"/>
    <tableColumn id="2" xr3:uid="{E5F149C9-8212-40CE-9945-EC628E8ACAEF}" uniqueName="2" name="Code" queryTableFieldId="2" dataDxfId="23"/>
    <tableColumn id="3" xr3:uid="{8EC62FCF-D3A1-4979-87EF-A056260CAB47}" uniqueName="3" name="1 GBP" queryTableFieldId="3"/>
    <tableColumn id="4" xr3:uid="{3B52D9D4-EFA9-4E15-87D4-B31BE4F2F849}" uniqueName="4" name="in GBP" queryTableFieldId="4"/>
    <tableColumn id="5" xr3:uid="{2237DD74-79CD-426F-B7C0-7C5B0F416CC9}" uniqueName="5" name="Converter" queryTableFieldId="5" dataDxfId="22"/>
    <tableColumn id="6" xr3:uid="{324325BC-2327-42ED-A4DA-C24270B0643D}" uniqueName="6" name="Chart" queryTableFieldId="6" dataDxfId="21"/>
  </tableColumns>
  <tableStyleInfo name="TableStyleMedium7"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JasonMcCaffrey@Outlook.com" TargetMode="External"/><Relationship Id="rId2" Type="http://schemas.openxmlformats.org/officeDocument/2006/relationships/hyperlink" Target="https://jasonjmccaffrey.wixsite.com/jace" TargetMode="External"/><Relationship Id="rId1" Type="http://schemas.openxmlformats.org/officeDocument/2006/relationships/hyperlink" Target="mailto:%20JasonMcCaffrey@Outlook.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architecture.engineering/" TargetMode="External"/><Relationship Id="rId1" Type="http://schemas.openxmlformats.org/officeDocument/2006/relationships/hyperlink" Target="mailto:Jason.McCaffrey@Outlook.com"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F6842-4FD6-4F4E-83B3-AB01E2B25553}">
  <sheetPr codeName="Sheet1">
    <tabColor rgb="FFC00000"/>
    <pageSetUpPr fitToPage="1"/>
  </sheetPr>
  <dimension ref="A1:N50"/>
  <sheetViews>
    <sheetView view="pageBreakPreview" zoomScale="85" zoomScaleNormal="100" zoomScaleSheetLayoutView="85" workbookViewId="0"/>
  </sheetViews>
  <sheetFormatPr defaultRowHeight="15"/>
  <cols>
    <col min="1" max="1" width="5.7109375" customWidth="1"/>
    <col min="8" max="8" width="14.5703125" customWidth="1"/>
    <col min="9" max="9" width="13" customWidth="1"/>
    <col min="14" max="14" width="5.7109375" customWidth="1"/>
  </cols>
  <sheetData>
    <row r="1" spans="1:14" ht="15.75" thickBot="1">
      <c r="A1" s="50"/>
      <c r="B1" s="51"/>
      <c r="C1" s="52"/>
      <c r="D1" s="52"/>
      <c r="E1" s="52"/>
      <c r="F1" s="52"/>
      <c r="G1" s="52"/>
      <c r="H1" s="52"/>
      <c r="I1" s="52"/>
      <c r="J1" s="52"/>
      <c r="K1" s="52"/>
      <c r="L1" s="52"/>
      <c r="M1" s="52"/>
      <c r="N1" s="53"/>
    </row>
    <row r="2" spans="1:14" ht="21.6" customHeight="1" thickBot="1">
      <c r="A2" s="54"/>
      <c r="B2" s="55"/>
      <c r="C2" s="56"/>
      <c r="D2" s="56"/>
      <c r="E2" s="609" t="s">
        <v>392</v>
      </c>
      <c r="F2" s="610"/>
      <c r="G2" s="610"/>
      <c r="H2" s="610"/>
      <c r="I2" s="610"/>
      <c r="J2" s="611"/>
      <c r="K2" s="56"/>
      <c r="L2" s="56"/>
      <c r="M2" s="57"/>
      <c r="N2" s="58"/>
    </row>
    <row r="3" spans="1:14" ht="21.6" customHeight="1" thickBot="1">
      <c r="A3" s="54"/>
      <c r="B3" s="59"/>
      <c r="C3" s="60"/>
      <c r="D3" s="60"/>
      <c r="E3" s="612"/>
      <c r="F3" s="613"/>
      <c r="G3" s="613"/>
      <c r="H3" s="613"/>
      <c r="I3" s="613"/>
      <c r="J3" s="614"/>
      <c r="K3" s="60"/>
      <c r="L3" s="60"/>
      <c r="M3" s="61"/>
      <c r="N3" s="58"/>
    </row>
    <row r="4" spans="1:14" ht="21.6" customHeight="1" thickBot="1">
      <c r="A4" s="54"/>
      <c r="B4" s="62"/>
      <c r="C4" s="63"/>
      <c r="D4" s="64"/>
      <c r="E4" s="615"/>
      <c r="F4" s="616"/>
      <c r="G4" s="616"/>
      <c r="H4" s="616"/>
      <c r="I4" s="616"/>
      <c r="J4" s="617"/>
      <c r="K4" s="65"/>
      <c r="L4" s="63"/>
      <c r="M4" s="66"/>
      <c r="N4" s="58"/>
    </row>
    <row r="5" spans="1:14" ht="15.75" thickBot="1">
      <c r="A5" s="54"/>
      <c r="B5" s="67" t="s">
        <v>283</v>
      </c>
      <c r="C5" s="68"/>
      <c r="D5" s="69"/>
      <c r="E5" s="70"/>
      <c r="F5" s="69"/>
      <c r="G5" s="71"/>
      <c r="H5" s="71"/>
      <c r="I5" s="71"/>
      <c r="J5" s="71"/>
      <c r="K5" s="72"/>
      <c r="L5" s="73"/>
      <c r="M5" s="74"/>
      <c r="N5" s="58"/>
    </row>
    <row r="6" spans="1:14" ht="20.100000000000001" customHeight="1" thickBot="1">
      <c r="A6" s="54"/>
      <c r="B6" s="75" t="s">
        <v>635</v>
      </c>
      <c r="C6" s="76"/>
      <c r="D6" s="618" t="s">
        <v>284</v>
      </c>
      <c r="E6" s="619"/>
      <c r="F6" s="619"/>
      <c r="G6" s="76"/>
      <c r="H6" s="76"/>
      <c r="I6" s="76"/>
      <c r="J6" s="76"/>
      <c r="K6" s="77"/>
      <c r="L6" s="78"/>
      <c r="M6" s="79"/>
      <c r="N6" s="58"/>
    </row>
    <row r="7" spans="1:14" ht="20.100000000000001" customHeight="1">
      <c r="A7" s="54"/>
      <c r="B7" s="620" t="s">
        <v>436</v>
      </c>
      <c r="C7" s="621"/>
      <c r="D7" s="621"/>
      <c r="E7" s="621"/>
      <c r="F7" s="621"/>
      <c r="G7" s="621"/>
      <c r="H7" s="621"/>
      <c r="I7" s="621"/>
      <c r="J7" s="621"/>
      <c r="K7" s="621"/>
      <c r="L7" s="621"/>
      <c r="M7" s="622"/>
      <c r="N7" s="58"/>
    </row>
    <row r="8" spans="1:14" ht="25.15" customHeight="1">
      <c r="A8" s="54"/>
      <c r="B8" s="623"/>
      <c r="C8" s="624"/>
      <c r="D8" s="624"/>
      <c r="E8" s="624"/>
      <c r="F8" s="624"/>
      <c r="G8" s="624"/>
      <c r="H8" s="624"/>
      <c r="I8" s="624"/>
      <c r="J8" s="624"/>
      <c r="K8" s="624"/>
      <c r="L8" s="624"/>
      <c r="M8" s="625"/>
      <c r="N8" s="58"/>
    </row>
    <row r="9" spans="1:14" ht="25.15" customHeight="1">
      <c r="A9" s="54"/>
      <c r="B9" s="623"/>
      <c r="C9" s="624"/>
      <c r="D9" s="624"/>
      <c r="E9" s="624"/>
      <c r="F9" s="624"/>
      <c r="G9" s="624"/>
      <c r="H9" s="624"/>
      <c r="I9" s="624"/>
      <c r="J9" s="624"/>
      <c r="K9" s="624"/>
      <c r="L9" s="624"/>
      <c r="M9" s="625"/>
      <c r="N9" s="58"/>
    </row>
    <row r="10" spans="1:14" ht="25.15" customHeight="1" thickBot="1">
      <c r="A10" s="54"/>
      <c r="B10" s="626"/>
      <c r="C10" s="627"/>
      <c r="D10" s="627"/>
      <c r="E10" s="627"/>
      <c r="F10" s="627"/>
      <c r="G10" s="627"/>
      <c r="H10" s="627"/>
      <c r="I10" s="627"/>
      <c r="J10" s="627"/>
      <c r="K10" s="627"/>
      <c r="L10" s="627"/>
      <c r="M10" s="628"/>
      <c r="N10" s="58"/>
    </row>
    <row r="11" spans="1:14" ht="20.100000000000001" customHeight="1" thickBot="1">
      <c r="A11" s="54"/>
      <c r="B11" s="629" t="s">
        <v>285</v>
      </c>
      <c r="C11" s="630"/>
      <c r="D11" s="630"/>
      <c r="E11" s="630"/>
      <c r="F11" s="630"/>
      <c r="G11" s="630"/>
      <c r="H11" s="80"/>
      <c r="I11" s="80"/>
      <c r="J11" s="80"/>
      <c r="K11" s="80"/>
      <c r="L11" s="81"/>
      <c r="M11" s="82"/>
      <c r="N11" s="58"/>
    </row>
    <row r="12" spans="1:14" ht="20.100000000000001" customHeight="1" thickBot="1">
      <c r="A12" s="54"/>
      <c r="B12" s="631"/>
      <c r="C12" s="632"/>
      <c r="D12" s="632"/>
      <c r="E12" s="632"/>
      <c r="F12" s="632"/>
      <c r="G12" s="632"/>
      <c r="H12" s="83"/>
      <c r="I12" s="83"/>
      <c r="J12" s="83"/>
      <c r="K12" s="83"/>
      <c r="L12" s="84"/>
      <c r="M12" s="85"/>
      <c r="N12" s="58"/>
    </row>
    <row r="13" spans="1:14" ht="20.100000000000001" customHeight="1" thickBot="1">
      <c r="A13" s="54"/>
      <c r="B13" s="633"/>
      <c r="C13" s="634"/>
      <c r="D13" s="634"/>
      <c r="E13" s="634"/>
      <c r="F13" s="634"/>
      <c r="G13" s="634"/>
      <c r="H13" s="86"/>
      <c r="I13" s="87"/>
      <c r="J13" s="87"/>
      <c r="K13" s="87"/>
      <c r="L13" s="87"/>
      <c r="M13" s="88"/>
      <c r="N13" s="58"/>
    </row>
    <row r="14" spans="1:14" ht="15.75" thickBot="1">
      <c r="A14" s="54"/>
      <c r="B14" s="635"/>
      <c r="C14" s="636"/>
      <c r="D14" s="636"/>
      <c r="E14" s="636"/>
      <c r="F14" s="636"/>
      <c r="G14" s="636"/>
      <c r="H14" s="636"/>
      <c r="I14" s="636"/>
      <c r="J14" s="636"/>
      <c r="K14" s="636"/>
      <c r="L14" s="636"/>
      <c r="M14" s="636"/>
      <c r="N14" s="58"/>
    </row>
    <row r="15" spans="1:14" ht="15.75" thickBot="1">
      <c r="A15" s="54"/>
      <c r="B15" s="89" t="s">
        <v>286</v>
      </c>
      <c r="C15" s="90"/>
      <c r="D15" s="91"/>
      <c r="E15" s="92" t="s">
        <v>287</v>
      </c>
      <c r="F15" s="93" t="s">
        <v>288</v>
      </c>
      <c r="G15" s="94"/>
      <c r="H15" s="95"/>
      <c r="I15" s="94"/>
      <c r="J15" s="95"/>
      <c r="K15" s="94"/>
      <c r="L15" s="91"/>
      <c r="M15" s="96"/>
      <c r="N15" s="58"/>
    </row>
    <row r="16" spans="1:14" ht="15.75" thickBot="1">
      <c r="A16" s="54"/>
      <c r="B16" s="589"/>
      <c r="C16" s="590"/>
      <c r="D16" s="590"/>
      <c r="E16" s="590"/>
      <c r="F16" s="590"/>
      <c r="G16" s="590"/>
      <c r="H16" s="590"/>
      <c r="I16" s="590"/>
      <c r="J16" s="590"/>
      <c r="K16" s="590"/>
      <c r="L16" s="590"/>
      <c r="M16" s="590"/>
      <c r="N16" s="58"/>
    </row>
    <row r="17" spans="1:14" ht="18.75">
      <c r="A17" s="54"/>
      <c r="B17" s="97" t="s">
        <v>289</v>
      </c>
      <c r="C17" s="98"/>
      <c r="D17" s="99"/>
      <c r="E17" s="99"/>
      <c r="F17" s="100"/>
      <c r="G17" s="99"/>
      <c r="H17" s="99"/>
      <c r="I17" s="101"/>
      <c r="J17" s="102" t="s">
        <v>633</v>
      </c>
      <c r="K17" s="103"/>
      <c r="L17" s="104"/>
      <c r="M17" s="105"/>
      <c r="N17" s="58"/>
    </row>
    <row r="18" spans="1:14" ht="15.75">
      <c r="A18" s="54"/>
      <c r="B18" s="106" t="s">
        <v>290</v>
      </c>
      <c r="C18" s="107"/>
      <c r="D18" s="107"/>
      <c r="E18" s="107"/>
      <c r="F18" s="108"/>
      <c r="G18" s="109">
        <v>50</v>
      </c>
      <c r="H18" s="107"/>
      <c r="I18" s="107"/>
      <c r="J18" s="110"/>
      <c r="K18" s="110"/>
      <c r="L18" s="111"/>
      <c r="M18" s="112"/>
      <c r="N18" s="58"/>
    </row>
    <row r="19" spans="1:14" ht="15.75">
      <c r="A19" s="54"/>
      <c r="B19" s="106" t="s">
        <v>291</v>
      </c>
      <c r="C19" s="107"/>
      <c r="D19" s="107"/>
      <c r="E19" s="107"/>
      <c r="F19" s="108"/>
      <c r="G19" s="113" t="s">
        <v>292</v>
      </c>
      <c r="H19" s="107"/>
      <c r="I19" s="107"/>
      <c r="J19" s="110"/>
      <c r="K19" s="110"/>
      <c r="L19" s="111"/>
      <c r="M19" s="112"/>
      <c r="N19" s="58"/>
    </row>
    <row r="20" spans="1:14" ht="15.75">
      <c r="A20" s="54"/>
      <c r="B20" s="106"/>
      <c r="C20" s="107"/>
      <c r="D20" s="107"/>
      <c r="E20" s="107"/>
      <c r="F20" s="108"/>
      <c r="G20" s="114"/>
      <c r="H20" s="107"/>
      <c r="I20" s="107"/>
      <c r="J20" s="110"/>
      <c r="K20" s="110"/>
      <c r="L20" s="111"/>
      <c r="M20" s="112"/>
      <c r="N20" s="58"/>
    </row>
    <row r="21" spans="1:14" ht="15.75">
      <c r="A21" s="54"/>
      <c r="B21" s="106" t="s">
        <v>293</v>
      </c>
      <c r="C21" s="107"/>
      <c r="D21" s="107"/>
      <c r="E21" s="107"/>
      <c r="F21" s="108"/>
      <c r="G21" s="114"/>
      <c r="H21" s="107"/>
      <c r="I21" s="107"/>
      <c r="J21" s="110"/>
      <c r="K21" s="110"/>
      <c r="L21" s="111"/>
      <c r="M21" s="112"/>
      <c r="N21" s="58"/>
    </row>
    <row r="22" spans="1:14" ht="16.350000000000001" customHeight="1" thickBot="1">
      <c r="A22" s="54"/>
      <c r="B22" s="591" t="s">
        <v>294</v>
      </c>
      <c r="C22" s="592"/>
      <c r="D22" s="592"/>
      <c r="E22" s="592"/>
      <c r="F22" s="592"/>
      <c r="G22" s="592"/>
      <c r="H22" s="592"/>
      <c r="I22" s="115"/>
      <c r="J22" s="107"/>
      <c r="K22" s="110"/>
      <c r="L22" s="111"/>
      <c r="M22" s="112"/>
      <c r="N22" s="58"/>
    </row>
    <row r="23" spans="1:14" ht="15.75" thickBot="1">
      <c r="A23" s="54"/>
      <c r="B23" s="593"/>
      <c r="C23" s="592"/>
      <c r="D23" s="592"/>
      <c r="E23" s="592"/>
      <c r="F23" s="592"/>
      <c r="G23" s="592"/>
      <c r="H23" s="592"/>
      <c r="I23" s="116" t="s">
        <v>295</v>
      </c>
      <c r="J23" s="594"/>
      <c r="K23" s="595"/>
      <c r="L23" s="595"/>
      <c r="M23" s="596"/>
      <c r="N23" s="58"/>
    </row>
    <row r="24" spans="1:14">
      <c r="A24" s="54"/>
      <c r="B24" s="593"/>
      <c r="C24" s="592"/>
      <c r="D24" s="592"/>
      <c r="E24" s="592"/>
      <c r="F24" s="592"/>
      <c r="G24" s="592"/>
      <c r="H24" s="592"/>
      <c r="I24" s="116" t="s">
        <v>296</v>
      </c>
      <c r="J24" s="597"/>
      <c r="K24" s="598"/>
      <c r="L24" s="598"/>
      <c r="M24" s="599"/>
      <c r="N24" s="58"/>
    </row>
    <row r="25" spans="1:14">
      <c r="A25" s="54"/>
      <c r="B25" s="593"/>
      <c r="C25" s="592"/>
      <c r="D25" s="592"/>
      <c r="E25" s="592"/>
      <c r="F25" s="592"/>
      <c r="G25" s="592"/>
      <c r="H25" s="592"/>
      <c r="I25" s="117"/>
      <c r="J25" s="600"/>
      <c r="K25" s="601"/>
      <c r="L25" s="601"/>
      <c r="M25" s="602"/>
      <c r="N25" s="58"/>
    </row>
    <row r="26" spans="1:14" ht="15.75" thickBot="1">
      <c r="A26" s="54"/>
      <c r="B26" s="106" t="s">
        <v>297</v>
      </c>
      <c r="C26" s="107"/>
      <c r="D26" s="107"/>
      <c r="E26" s="107"/>
      <c r="F26" s="118"/>
      <c r="G26" s="107"/>
      <c r="H26" s="107"/>
      <c r="I26" s="119"/>
      <c r="J26" s="603"/>
      <c r="K26" s="604"/>
      <c r="L26" s="604"/>
      <c r="M26" s="605"/>
      <c r="N26" s="58"/>
    </row>
    <row r="27" spans="1:14" ht="15.75" thickBot="1">
      <c r="A27" s="54"/>
      <c r="B27" s="120" t="s">
        <v>298</v>
      </c>
      <c r="C27" s="121"/>
      <c r="D27" s="121"/>
      <c r="E27" s="121"/>
      <c r="F27" s="122"/>
      <c r="G27" s="121"/>
      <c r="H27" s="121"/>
      <c r="I27" s="123" t="s">
        <v>299</v>
      </c>
      <c r="J27" s="606" t="s">
        <v>300</v>
      </c>
      <c r="K27" s="607"/>
      <c r="L27" s="607"/>
      <c r="M27" s="608"/>
      <c r="N27" s="58"/>
    </row>
    <row r="28" spans="1:14" ht="15.75" thickBot="1">
      <c r="A28" s="54"/>
      <c r="B28" s="589"/>
      <c r="C28" s="590"/>
      <c r="D28" s="590"/>
      <c r="E28" s="590"/>
      <c r="F28" s="590"/>
      <c r="G28" s="590"/>
      <c r="H28" s="590"/>
      <c r="I28" s="590"/>
      <c r="J28" s="590"/>
      <c r="K28" s="590"/>
      <c r="L28" s="590"/>
      <c r="M28" s="590"/>
      <c r="N28" s="58"/>
    </row>
    <row r="29" spans="1:14" ht="15.75">
      <c r="A29" s="54"/>
      <c r="B29" s="124" t="s">
        <v>301</v>
      </c>
      <c r="C29" s="125"/>
      <c r="D29" s="126"/>
      <c r="E29" s="126"/>
      <c r="F29" s="126"/>
      <c r="G29" s="126"/>
      <c r="H29" s="126"/>
      <c r="I29" s="126"/>
      <c r="J29" s="126"/>
      <c r="K29" s="126"/>
      <c r="L29" s="127"/>
      <c r="M29" s="128"/>
      <c r="N29" s="58"/>
    </row>
    <row r="30" spans="1:14" ht="14.65" customHeight="1">
      <c r="A30" s="54"/>
      <c r="B30" s="640" t="s">
        <v>634</v>
      </c>
      <c r="C30" s="648"/>
      <c r="D30" s="648"/>
      <c r="E30" s="648"/>
      <c r="F30" s="648"/>
      <c r="G30" s="648"/>
      <c r="H30" s="648"/>
      <c r="I30" s="648"/>
      <c r="J30" s="648"/>
      <c r="K30" s="648"/>
      <c r="L30" s="648"/>
      <c r="M30" s="649"/>
      <c r="N30" s="58"/>
    </row>
    <row r="31" spans="1:14">
      <c r="A31" s="54"/>
      <c r="B31" s="650"/>
      <c r="C31" s="648"/>
      <c r="D31" s="648"/>
      <c r="E31" s="648"/>
      <c r="F31" s="648"/>
      <c r="G31" s="648"/>
      <c r="H31" s="648"/>
      <c r="I31" s="648"/>
      <c r="J31" s="648"/>
      <c r="K31" s="648"/>
      <c r="L31" s="648"/>
      <c r="M31" s="649"/>
      <c r="N31" s="58"/>
    </row>
    <row r="32" spans="1:14">
      <c r="A32" s="54"/>
      <c r="B32" s="650"/>
      <c r="C32" s="648"/>
      <c r="D32" s="648"/>
      <c r="E32" s="648"/>
      <c r="F32" s="648"/>
      <c r="G32" s="648"/>
      <c r="H32" s="648"/>
      <c r="I32" s="648"/>
      <c r="J32" s="648"/>
      <c r="K32" s="648"/>
      <c r="L32" s="648"/>
      <c r="M32" s="649"/>
      <c r="N32" s="58"/>
    </row>
    <row r="33" spans="1:14">
      <c r="A33" s="54"/>
      <c r="B33" s="650"/>
      <c r="C33" s="648"/>
      <c r="D33" s="648"/>
      <c r="E33" s="648"/>
      <c r="F33" s="648"/>
      <c r="G33" s="648"/>
      <c r="H33" s="648"/>
      <c r="I33" s="648"/>
      <c r="J33" s="648"/>
      <c r="K33" s="648"/>
      <c r="L33" s="648"/>
      <c r="M33" s="649"/>
      <c r="N33" s="58"/>
    </row>
    <row r="34" spans="1:14">
      <c r="A34" s="54"/>
      <c r="B34" s="650"/>
      <c r="C34" s="648"/>
      <c r="D34" s="648"/>
      <c r="E34" s="648"/>
      <c r="F34" s="648"/>
      <c r="G34" s="648"/>
      <c r="H34" s="648"/>
      <c r="I34" s="648"/>
      <c r="J34" s="648"/>
      <c r="K34" s="648"/>
      <c r="L34" s="648"/>
      <c r="M34" s="649"/>
      <c r="N34" s="58"/>
    </row>
    <row r="35" spans="1:14">
      <c r="A35" s="54"/>
      <c r="B35" s="650"/>
      <c r="C35" s="648"/>
      <c r="D35" s="648"/>
      <c r="E35" s="648"/>
      <c r="F35" s="648"/>
      <c r="G35" s="648"/>
      <c r="H35" s="648"/>
      <c r="I35" s="648"/>
      <c r="J35" s="648"/>
      <c r="K35" s="648"/>
      <c r="L35" s="648"/>
      <c r="M35" s="649"/>
      <c r="N35" s="58"/>
    </row>
    <row r="36" spans="1:14">
      <c r="A36" s="54"/>
      <c r="B36" s="650"/>
      <c r="C36" s="648"/>
      <c r="D36" s="648"/>
      <c r="E36" s="648"/>
      <c r="F36" s="648"/>
      <c r="G36" s="648"/>
      <c r="H36" s="648"/>
      <c r="I36" s="648"/>
      <c r="J36" s="648"/>
      <c r="K36" s="648"/>
      <c r="L36" s="648"/>
      <c r="M36" s="649"/>
      <c r="N36" s="58"/>
    </row>
    <row r="37" spans="1:14" ht="4.5" customHeight="1">
      <c r="A37" s="54"/>
      <c r="B37" s="129"/>
      <c r="C37" s="130"/>
      <c r="D37" s="130"/>
      <c r="E37" s="130"/>
      <c r="F37" s="130"/>
      <c r="G37" s="130"/>
      <c r="H37" s="130"/>
      <c r="I37" s="130"/>
      <c r="J37" s="130"/>
      <c r="K37" s="130"/>
      <c r="L37" s="130"/>
      <c r="M37" s="131"/>
      <c r="N37" s="58"/>
    </row>
    <row r="38" spans="1:14">
      <c r="A38" s="54"/>
      <c r="B38" s="637" t="s">
        <v>302</v>
      </c>
      <c r="C38" s="638"/>
      <c r="D38" s="638"/>
      <c r="E38" s="638"/>
      <c r="F38" s="638"/>
      <c r="G38" s="638"/>
      <c r="H38" s="638"/>
      <c r="I38" s="638"/>
      <c r="J38" s="638"/>
      <c r="K38" s="638"/>
      <c r="L38" s="638"/>
      <c r="M38" s="639"/>
      <c r="N38" s="58"/>
    </row>
    <row r="39" spans="1:14" ht="7.5" customHeight="1" thickBot="1">
      <c r="A39" s="54"/>
      <c r="B39" s="132"/>
      <c r="C39" s="133"/>
      <c r="D39" s="133"/>
      <c r="E39" s="133"/>
      <c r="F39" s="133"/>
      <c r="G39" s="133"/>
      <c r="H39" s="133"/>
      <c r="I39" s="133"/>
      <c r="J39" s="133"/>
      <c r="K39" s="133"/>
      <c r="L39" s="133"/>
      <c r="M39" s="134"/>
      <c r="N39" s="58"/>
    </row>
    <row r="40" spans="1:14" ht="15.75" thickBot="1">
      <c r="A40" s="54"/>
      <c r="B40" s="589"/>
      <c r="C40" s="590"/>
      <c r="D40" s="590"/>
      <c r="E40" s="590"/>
      <c r="F40" s="590"/>
      <c r="G40" s="590"/>
      <c r="H40" s="590"/>
      <c r="I40" s="590"/>
      <c r="J40" s="590"/>
      <c r="K40" s="590"/>
      <c r="L40" s="590"/>
      <c r="M40" s="590"/>
      <c r="N40" s="58"/>
    </row>
    <row r="41" spans="1:14">
      <c r="A41" s="54"/>
      <c r="B41" s="124" t="s">
        <v>303</v>
      </c>
      <c r="C41" s="125"/>
      <c r="D41" s="135"/>
      <c r="E41" s="135"/>
      <c r="F41" s="135"/>
      <c r="G41" s="135"/>
      <c r="H41" s="135"/>
      <c r="I41" s="135"/>
      <c r="J41" s="135"/>
      <c r="K41" s="135"/>
      <c r="L41" s="127"/>
      <c r="M41" s="128"/>
      <c r="N41" s="58"/>
    </row>
    <row r="42" spans="1:14">
      <c r="A42" s="54"/>
      <c r="B42" s="640" t="s">
        <v>304</v>
      </c>
      <c r="C42" s="641"/>
      <c r="D42" s="641"/>
      <c r="E42" s="641"/>
      <c r="F42" s="641"/>
      <c r="G42" s="641"/>
      <c r="H42" s="641"/>
      <c r="I42" s="641"/>
      <c r="J42" s="641"/>
      <c r="K42" s="641"/>
      <c r="L42" s="641"/>
      <c r="M42" s="642"/>
      <c r="N42" s="58"/>
    </row>
    <row r="43" spans="1:14">
      <c r="A43" s="54"/>
      <c r="B43" s="640"/>
      <c r="C43" s="641"/>
      <c r="D43" s="641"/>
      <c r="E43" s="641"/>
      <c r="F43" s="641"/>
      <c r="G43" s="641"/>
      <c r="H43" s="641"/>
      <c r="I43" s="641"/>
      <c r="J43" s="641"/>
      <c r="K43" s="641"/>
      <c r="L43" s="641"/>
      <c r="M43" s="642"/>
      <c r="N43" s="58"/>
    </row>
    <row r="44" spans="1:14">
      <c r="A44" s="54"/>
      <c r="B44" s="640"/>
      <c r="C44" s="641"/>
      <c r="D44" s="641"/>
      <c r="E44" s="641"/>
      <c r="F44" s="641"/>
      <c r="G44" s="641"/>
      <c r="H44" s="641"/>
      <c r="I44" s="641"/>
      <c r="J44" s="641"/>
      <c r="K44" s="641"/>
      <c r="L44" s="641"/>
      <c r="M44" s="642"/>
      <c r="N44" s="58"/>
    </row>
    <row r="45" spans="1:14">
      <c r="A45" s="54"/>
      <c r="B45" s="640"/>
      <c r="C45" s="641"/>
      <c r="D45" s="641"/>
      <c r="E45" s="641"/>
      <c r="F45" s="641"/>
      <c r="G45" s="641"/>
      <c r="H45" s="641"/>
      <c r="I45" s="641"/>
      <c r="J45" s="641"/>
      <c r="K45" s="641"/>
      <c r="L45" s="641"/>
      <c r="M45" s="642"/>
      <c r="N45" s="58"/>
    </row>
    <row r="46" spans="1:14">
      <c r="A46" s="54"/>
      <c r="B46" s="640"/>
      <c r="C46" s="641"/>
      <c r="D46" s="641"/>
      <c r="E46" s="641"/>
      <c r="F46" s="641"/>
      <c r="G46" s="641"/>
      <c r="H46" s="641"/>
      <c r="I46" s="641"/>
      <c r="J46" s="641"/>
      <c r="K46" s="641"/>
      <c r="L46" s="641"/>
      <c r="M46" s="642"/>
      <c r="N46" s="58"/>
    </row>
    <row r="47" spans="1:14">
      <c r="A47" s="54"/>
      <c r="B47" s="640"/>
      <c r="C47" s="641"/>
      <c r="D47" s="641"/>
      <c r="E47" s="641"/>
      <c r="F47" s="641"/>
      <c r="G47" s="641"/>
      <c r="H47" s="641"/>
      <c r="I47" s="641"/>
      <c r="J47" s="641"/>
      <c r="K47" s="641"/>
      <c r="L47" s="641"/>
      <c r="M47" s="642"/>
      <c r="N47" s="58"/>
    </row>
    <row r="48" spans="1:14" ht="15.75" thickBot="1">
      <c r="A48" s="54"/>
      <c r="B48" s="643"/>
      <c r="C48" s="644"/>
      <c r="D48" s="644"/>
      <c r="E48" s="644"/>
      <c r="F48" s="644"/>
      <c r="G48" s="644"/>
      <c r="H48" s="644"/>
      <c r="I48" s="644"/>
      <c r="J48" s="644"/>
      <c r="K48" s="644"/>
      <c r="L48" s="644"/>
      <c r="M48" s="645"/>
      <c r="N48" s="58"/>
    </row>
    <row r="49" spans="1:14">
      <c r="A49" s="54"/>
      <c r="B49" s="646"/>
      <c r="C49" s="647"/>
      <c r="D49" s="647"/>
      <c r="E49" s="647"/>
      <c r="F49" s="647"/>
      <c r="G49" s="647"/>
      <c r="H49" s="647"/>
      <c r="I49" s="647"/>
      <c r="J49" s="647"/>
      <c r="K49" s="647"/>
      <c r="L49" s="647"/>
      <c r="M49" s="647"/>
      <c r="N49" s="58"/>
    </row>
    <row r="50" spans="1:14" ht="15.75" thickBot="1">
      <c r="A50" s="136"/>
      <c r="B50" s="137"/>
      <c r="C50" s="137"/>
      <c r="D50" s="137"/>
      <c r="E50" s="137"/>
      <c r="F50" s="137"/>
      <c r="G50" s="137"/>
      <c r="H50" s="137"/>
      <c r="I50" s="137"/>
      <c r="J50" s="137"/>
      <c r="K50" s="137"/>
      <c r="L50" s="137"/>
      <c r="M50" s="137"/>
      <c r="N50" s="138"/>
    </row>
  </sheetData>
  <mergeCells count="16">
    <mergeCell ref="B38:M38"/>
    <mergeCell ref="B40:M40"/>
    <mergeCell ref="B42:M48"/>
    <mergeCell ref="B49:M49"/>
    <mergeCell ref="B30:M36"/>
    <mergeCell ref="E2:J4"/>
    <mergeCell ref="D6:F6"/>
    <mergeCell ref="B7:M10"/>
    <mergeCell ref="B11:G13"/>
    <mergeCell ref="B14:M14"/>
    <mergeCell ref="B28:M28"/>
    <mergeCell ref="B16:M16"/>
    <mergeCell ref="B22:H25"/>
    <mergeCell ref="J23:M23"/>
    <mergeCell ref="J24:M26"/>
    <mergeCell ref="J27:M27"/>
  </mergeCells>
  <hyperlinks>
    <hyperlink ref="B11:G13" r:id="rId1" display="mailto:%20JasonMcCaffrey@Outlook.com" xr:uid="{D62B5ECF-BE41-4CBE-BECD-F385F27023AD}"/>
    <hyperlink ref="B7:J10" r:id="rId2" display="https://jasonjmccaffrey.wixsite.com/jace" xr:uid="{80A11C18-66BB-43FB-BBBA-EA03F8A2A0E1}"/>
    <hyperlink ref="J27" r:id="rId3" xr:uid="{736D5B3B-0466-4151-BE6A-2155E40E4F24}"/>
  </hyperlinks>
  <pageMargins left="0.70866141732283472" right="0.70866141732283472" top="0.74803149606299213" bottom="0.74803149606299213" header="0.31496062992125984" footer="0.31496062992125984"/>
  <pageSetup paperSize="9" scale="66"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3EACE-AF5C-4B61-945F-61E43C447CE8}">
  <sheetPr codeName="Sheet5">
    <tabColor rgb="FF0000FF"/>
    <outlinePr summaryBelow="0" summaryRight="0"/>
    <pageSetUpPr fitToPage="1"/>
  </sheetPr>
  <dimension ref="A1:AC71"/>
  <sheetViews>
    <sheetView showGridLines="0" tabSelected="1" view="pageBreakPreview" topLeftCell="C1" zoomScale="85" zoomScaleNormal="85" zoomScaleSheetLayoutView="85" zoomScalePageLayoutView="70" workbookViewId="0">
      <selection activeCell="C1" sqref="C1:D3"/>
    </sheetView>
  </sheetViews>
  <sheetFormatPr defaultColWidth="9.140625" defaultRowHeight="12.75" outlineLevelRow="2" outlineLevelCol="2"/>
  <cols>
    <col min="1" max="1" width="7.42578125" style="46" hidden="1" customWidth="1"/>
    <col min="2" max="2" width="10.42578125" style="46" hidden="1" customWidth="1"/>
    <col min="3" max="3" width="33.7109375" style="46" customWidth="1"/>
    <col min="4" max="4" width="21.140625" style="46" customWidth="1"/>
    <col min="5" max="5" width="15.85546875" style="46" customWidth="1"/>
    <col min="6" max="6" width="13.7109375" style="46" customWidth="1"/>
    <col min="7" max="7" width="13.42578125" style="46" customWidth="1"/>
    <col min="8" max="8" width="9" style="46" customWidth="1"/>
    <col min="9" max="9" width="16.42578125" style="46" customWidth="1"/>
    <col min="10" max="10" width="6.85546875" style="46" customWidth="1"/>
    <col min="11" max="11" width="12.42578125" style="46" customWidth="1"/>
    <col min="12" max="12" width="8.140625" style="46" customWidth="1"/>
    <col min="13" max="13" width="4.7109375" style="46" customWidth="1"/>
    <col min="14" max="14" width="30.140625" style="46" customWidth="1" outlineLevel="1"/>
    <col min="15" max="15" width="11.140625" style="46" customWidth="1" outlineLevel="1"/>
    <col min="16" max="16" width="27.5703125" style="46" customWidth="1" outlineLevel="1"/>
    <col min="17" max="17" width="15.140625" style="46" customWidth="1" outlineLevel="1"/>
    <col min="18" max="18" width="15" style="46" customWidth="1" outlineLevel="1"/>
    <col min="19" max="19" width="25.28515625" style="46" customWidth="1" outlineLevel="2"/>
    <col min="20" max="20" width="23.5703125" style="46" customWidth="1" outlineLevel="2"/>
    <col min="21" max="22" width="20.5703125" style="46" customWidth="1" outlineLevel="2"/>
    <col min="23" max="23" width="1.7109375" style="46" customWidth="1"/>
    <col min="24" max="24" width="17" style="46" hidden="1" customWidth="1"/>
    <col min="25" max="25" width="18" style="46" hidden="1" customWidth="1"/>
    <col min="26" max="26" width="12.5703125" style="46" hidden="1" customWidth="1"/>
    <col min="27" max="27" width="13.42578125" style="169" hidden="1" customWidth="1"/>
    <col min="28" max="28" width="13.42578125" style="169" bestFit="1" customWidth="1"/>
    <col min="29" max="29" width="11" style="46" bestFit="1" customWidth="1"/>
    <col min="30" max="16384" width="9.140625" style="46"/>
  </cols>
  <sheetData>
    <row r="1" spans="1:29" s="44" customFormat="1" ht="40.15" customHeight="1" thickTop="1" thickBot="1">
      <c r="C1" s="438" t="s">
        <v>0</v>
      </c>
      <c r="D1" s="439"/>
      <c r="E1" s="546" t="s">
        <v>269</v>
      </c>
      <c r="F1" s="547"/>
      <c r="G1" s="547"/>
      <c r="H1" s="547"/>
      <c r="I1" s="547"/>
      <c r="J1" s="547"/>
      <c r="K1" s="547"/>
      <c r="L1" s="547"/>
      <c r="M1" s="547"/>
      <c r="N1" s="414" t="str" cm="1">
        <f t="array" aca="1" ref="N1" ca="1">"INTERNATIONAL ENGINEERS "&amp;RIGHT(CELL("filename",S1),LEN(CELL("filename",S1))-FIND("]",CELL("filename",S1)))&amp;" INCLUDING DESIGN EQUIPMENT &amp; EXPENSES"</f>
        <v>INTERNATIONAL ENGINEERS CONSULTANCY FEES CALCULATOR INCLUDING DESIGN EQUIPMENT &amp; EXPENSES</v>
      </c>
      <c r="O1" s="415"/>
      <c r="P1" s="415"/>
      <c r="Q1" s="415"/>
      <c r="R1" s="415"/>
      <c r="S1" s="415"/>
      <c r="T1" s="416"/>
      <c r="U1" s="521" t="s">
        <v>3</v>
      </c>
      <c r="V1" s="522"/>
      <c r="Y1" s="45"/>
      <c r="AA1" s="195"/>
      <c r="AB1" s="195"/>
    </row>
    <row r="2" spans="1:29" ht="18" customHeight="1" thickTop="1" thickBot="1">
      <c r="C2" s="440"/>
      <c r="D2" s="441"/>
      <c r="E2" s="548"/>
      <c r="F2" s="549"/>
      <c r="G2" s="549"/>
      <c r="H2" s="549"/>
      <c r="I2" s="549"/>
      <c r="J2" s="549"/>
      <c r="K2" s="549"/>
      <c r="L2" s="549"/>
      <c r="M2" s="549"/>
      <c r="N2" s="417"/>
      <c r="O2" s="418"/>
      <c r="P2" s="419"/>
      <c r="Q2" s="534" t="s">
        <v>271</v>
      </c>
      <c r="R2" s="535"/>
      <c r="S2" s="407" t="s">
        <v>272</v>
      </c>
      <c r="T2" s="408"/>
      <c r="U2" s="407" t="s">
        <v>3</v>
      </c>
      <c r="V2" s="408"/>
      <c r="X2" s="420" t="s">
        <v>405</v>
      </c>
      <c r="Y2" s="421"/>
      <c r="Z2" s="196"/>
      <c r="AB2" s="196"/>
    </row>
    <row r="3" spans="1:29" ht="18" customHeight="1" thickTop="1" thickBot="1">
      <c r="C3" s="440"/>
      <c r="D3" s="441"/>
      <c r="E3" s="550" t="s">
        <v>421</v>
      </c>
      <c r="F3" s="551"/>
      <c r="G3" s="551"/>
      <c r="H3" s="551"/>
      <c r="I3" s="551"/>
      <c r="J3" s="551"/>
      <c r="K3" s="551"/>
      <c r="L3" s="551"/>
      <c r="M3" s="551"/>
      <c r="N3" s="426" t="str">
        <f ca="1">"© 2021 - "&amp;YEAR(TODAY())&amp;" AES LTD"</f>
        <v>© 2021 - 2026 AES LTD</v>
      </c>
      <c r="O3" s="427"/>
      <c r="P3" s="428"/>
      <c r="Q3" s="544" t="s">
        <v>423</v>
      </c>
      <c r="R3" s="545"/>
      <c r="S3" s="409" t="s">
        <v>273</v>
      </c>
      <c r="T3" s="410"/>
      <c r="U3" s="523">
        <v>1</v>
      </c>
      <c r="V3" s="524"/>
      <c r="X3" s="150" t="str">
        <f>"ANNUAL "&amp;$I$12</f>
        <v>ANNUAL GBP £</v>
      </c>
      <c r="Y3" s="150" t="str">
        <f>"ANNUAL "&amp;$I$13</f>
        <v>ANNUAL USD $</v>
      </c>
      <c r="Z3" s="150" t="str">
        <f>"ANNUAL "&amp;$I$14</f>
        <v>ANNUAL EUR €</v>
      </c>
      <c r="AB3" s="150"/>
    </row>
    <row r="4" spans="1:29" ht="18" customHeight="1" thickTop="1" thickBot="1">
      <c r="C4" s="554" t="s">
        <v>12</v>
      </c>
      <c r="D4" s="441"/>
      <c r="E4" s="550" t="s">
        <v>422</v>
      </c>
      <c r="F4" s="551"/>
      <c r="G4" s="551"/>
      <c r="H4" s="551"/>
      <c r="I4" s="551"/>
      <c r="J4" s="551"/>
      <c r="K4" s="551"/>
      <c r="L4" s="551"/>
      <c r="M4" s="551"/>
      <c r="N4" s="536" t="s">
        <v>390</v>
      </c>
      <c r="O4" s="536"/>
      <c r="P4" s="537"/>
      <c r="Q4" s="542" t="s">
        <v>14</v>
      </c>
      <c r="R4" s="543"/>
      <c r="S4" s="411" t="s">
        <v>15</v>
      </c>
      <c r="T4" s="408"/>
      <c r="U4" s="527" t="s">
        <v>283</v>
      </c>
      <c r="V4" s="528"/>
      <c r="X4" s="158">
        <f>HourlyRate1*Hours_In_Day*Days_In_Week*Contract_Weeks_In_Year</f>
        <v>589492.79999999993</v>
      </c>
      <c r="Y4" s="158">
        <f>HourlyRate2*Hours_In_Day*Days_In_Week*Contract_Weeks_In_Year</f>
        <v>778918.05838080007</v>
      </c>
      <c r="Z4" s="158">
        <f>HourlyRate3*Hours_In_Day*Days_In_Week*Contract_Weeks_In_Year</f>
        <v>683582.33530080004</v>
      </c>
      <c r="AB4" s="158"/>
    </row>
    <row r="5" spans="1:29" ht="18" customHeight="1" thickTop="1" thickBot="1">
      <c r="B5" s="211"/>
      <c r="C5" s="555" t="s">
        <v>17</v>
      </c>
      <c r="D5" s="556"/>
      <c r="E5" s="552" t="str">
        <f>S10</f>
        <v>FEES CALCULATED FOR NEC4 PROFESSIONAL SERVICES CONTRACT TERMS AND CONDITIONS</v>
      </c>
      <c r="F5" s="553"/>
      <c r="G5" s="553"/>
      <c r="H5" s="553"/>
      <c r="I5" s="553"/>
      <c r="J5" s="553"/>
      <c r="K5" s="553"/>
      <c r="L5" s="553"/>
      <c r="M5" s="553"/>
      <c r="N5" s="538" t="s">
        <v>5</v>
      </c>
      <c r="O5" s="538"/>
      <c r="P5" s="539"/>
      <c r="Q5" s="540">
        <f ca="1">TODAY()</f>
        <v>46199</v>
      </c>
      <c r="R5" s="541"/>
      <c r="S5" s="412" t="s">
        <v>389</v>
      </c>
      <c r="T5" s="413"/>
      <c r="U5" s="525" t="s">
        <v>444</v>
      </c>
      <c r="V5" s="526"/>
      <c r="X5" s="150" t="str">
        <f>"PROJECT "&amp;$I$12</f>
        <v>PROJECT GBP £</v>
      </c>
      <c r="Y5" s="150" t="str">
        <f>"PROJECT "&amp;$I$13</f>
        <v>PROJECT USD $</v>
      </c>
      <c r="Z5" s="150" t="str">
        <f>"PROJECT "&amp;$I$14</f>
        <v>PROJECT EUR €</v>
      </c>
      <c r="AB5" s="150"/>
    </row>
    <row r="6" spans="1:29" s="246" customFormat="1" ht="18" customHeight="1" thickBot="1">
      <c r="B6" s="211"/>
      <c r="C6" s="303" t="s">
        <v>439</v>
      </c>
      <c r="D6" s="445" t="str">
        <f>IF(Contract_Duration=1,"CONTRACTOR FEES OVER "&amp;Contract_Duration&amp;" YEAR","CONTRACTOR FEES OVER "&amp;Contract_Duration&amp;" YEARS")</f>
        <v>CONTRACTOR FEES OVER 1 YEAR</v>
      </c>
      <c r="E6" s="445"/>
      <c r="F6" s="445" t="s">
        <v>402</v>
      </c>
      <c r="G6" s="445"/>
      <c r="H6" s="445" t="str">
        <f>IF(N22=1,"EQUIPMENT FEES PER "&amp;N22&amp;" YEAR","EQUIPMENT FEES PER "&amp;N22&amp;" YEARS")</f>
        <v>EQUIPMENT FEES PER 1 YEAR</v>
      </c>
      <c r="I6" s="445"/>
      <c r="J6" s="445"/>
      <c r="K6" s="445" t="s">
        <v>406</v>
      </c>
      <c r="L6" s="445"/>
      <c r="M6" s="304"/>
      <c r="N6" s="304" t="str">
        <f>IF(N22=1,"EXPENSES PER "&amp;N22&amp;" YEAR","EXPENSES PER "&amp;N22&amp;" YEARS")</f>
        <v>EXPENSES PER 1 YEAR</v>
      </c>
      <c r="O6" s="461" t="s">
        <v>440</v>
      </c>
      <c r="P6" s="462"/>
      <c r="Q6" s="445" t="str">
        <f>IF(N22=1,"CONT.. + EQUIP. FEES PER "&amp;N22&amp;" YEAR","CONT. + EQUIP. FEES PER "&amp;N22&amp;" YEARS")</f>
        <v>CONT.. + EQUIP. FEES PER 1 YEAR</v>
      </c>
      <c r="R6" s="446"/>
      <c r="S6" s="305" t="s">
        <v>434</v>
      </c>
      <c r="T6" s="305" t="str">
        <f>IF(Contract_Duration=1,"CONTRACT. + EXPENSES PER "&amp;Contract_Duration&amp;" YEAR","CONTRACT. + EXPENSES PER "&amp;Contract_Duration&amp;" YEARS")</f>
        <v>CONTRACT. + EXPENSES PER 1 YEAR</v>
      </c>
      <c r="U6" s="304" t="s">
        <v>441</v>
      </c>
      <c r="V6" s="306" t="str">
        <f>IF(Contract_Duration=1,"PROJECT FEES-"&amp;Contract_Duration&amp;" YEAR","PROJECT FEES - "&amp;Contract_Duration&amp;" YEARS")</f>
        <v>PROJECT FEES-1 YEAR</v>
      </c>
      <c r="X6" s="247">
        <f>X4*Contract_Duration</f>
        <v>589492.79999999993</v>
      </c>
      <c r="Y6" s="247">
        <f>Y4*Contract_Duration</f>
        <v>778918.05838080007</v>
      </c>
      <c r="Z6" s="247">
        <f>Z4*Contract_Duration</f>
        <v>683582.33530080004</v>
      </c>
      <c r="AA6" s="248"/>
      <c r="AB6" s="247"/>
    </row>
    <row r="7" spans="1:29" s="178" customFormat="1" ht="18" customHeight="1" outlineLevel="1" thickBot="1">
      <c r="B7" s="245"/>
      <c r="C7" s="252" t="str">
        <f>(RIGHT($E12,4)&amp;TEXT(($X$4)," #,##0.00"))</f>
        <v>GBP 589,492.80</v>
      </c>
      <c r="D7" s="533" t="str">
        <f>(RIGHT($E12,4)&amp;TEXT(($X4*Contract_Duration)," #,##0.00"))</f>
        <v>GBP 589,492.80</v>
      </c>
      <c r="E7" s="533"/>
      <c r="F7" s="533" t="str">
        <f>(RIGHT($E12,4)&amp;TEXT((Equip_Fees1)," #,##0.00"))</f>
        <v>GBP 79,177.00</v>
      </c>
      <c r="G7" s="533"/>
      <c r="H7" s="532" t="str">
        <f>(RIGHT($E12,4)&amp;TEXT((Equip_Fees1*Contract_Duration)," #,##0.00"))</f>
        <v>GBP 79,177.00</v>
      </c>
      <c r="I7" s="533"/>
      <c r="J7" s="533"/>
      <c r="K7" s="533" t="str">
        <f>(RIGHT($E12,4)&amp;TEXT((Expenses1)," #,##0.00"))</f>
        <v>GBP 108,100.00</v>
      </c>
      <c r="L7" s="533"/>
      <c r="M7" s="253"/>
      <c r="N7" s="253" t="str">
        <f>(RIGHT($E12,4)&amp;TEXT((Expenses1*Contract_Duration)," #,##0.00"))</f>
        <v>GBP 108,100.00</v>
      </c>
      <c r="O7" s="463" t="str">
        <f>(RIGHT($E12,4)&amp;TEXT(($X$4+Expenses1)," #,##0.00"))</f>
        <v>GBP 697,592.80</v>
      </c>
      <c r="P7" s="464"/>
      <c r="Q7" s="463" t="str">
        <f>(RIGHT($E12,4)&amp;TEXT((($X$4+Expenses1)*Contract_Duration)," #,##0.00"))</f>
        <v>GBP 697,592.80</v>
      </c>
      <c r="R7" s="519"/>
      <c r="S7" s="254" t="str">
        <f>(RIGHT($E12,4)&amp;TEXT(($X$4+Equip_Fees1)," #,##0.00"))</f>
        <v>GBP 668,669.80</v>
      </c>
      <c r="T7" s="254" t="str">
        <f>(RIGHT($E12,4)&amp;TEXT((($X$4+Equip_Fees1)*Contract_Duration)," #,##0.00"))</f>
        <v>GBP 668,669.80</v>
      </c>
      <c r="U7" s="255" t="str">
        <f>(RIGHT($E12,4)&amp;TEXT(($X$4+Equip_Fees1+Expenses1)," #,##0.00"))</f>
        <v>GBP 776,769.80</v>
      </c>
      <c r="V7" s="256" t="str">
        <f>(RIGHT($E12,4)&amp;TEXT(($X$4+Equip_Fees1+Expenses1)*Contract_Duration," #,##0.00"))</f>
        <v>GBP 776,769.80</v>
      </c>
      <c r="X7" s="188" t="s">
        <v>426</v>
      </c>
      <c r="Y7" s="475"/>
      <c r="Z7" s="475"/>
      <c r="AA7" s="196"/>
      <c r="AB7" s="196"/>
    </row>
    <row r="8" spans="1:29" s="178" customFormat="1" ht="18" customHeight="1" outlineLevel="1" thickBot="1">
      <c r="B8" s="245"/>
      <c r="C8" s="257" t="str">
        <f>(RIGHT($E13,4)&amp;TEXT(($Y$4)," #,##0.00"))</f>
        <v>USD 778,918.06</v>
      </c>
      <c r="D8" s="531" t="str">
        <f>(RIGHT($E13,4)&amp;TEXT(($Y4*Contract_Duration)," #,##0.00"))</f>
        <v>USD 778,918.06</v>
      </c>
      <c r="E8" s="531"/>
      <c r="F8" s="531" t="str">
        <f>(RIGHT($E13,4)&amp;TEXT((Equip_Fees2)," #,##0.00"))</f>
        <v>USD 104,619.42</v>
      </c>
      <c r="G8" s="531"/>
      <c r="H8" s="530" t="str">
        <f>(RIGHT($E13,4)&amp;TEXT((Equip_Fees2*Contract_Duration)," #,##0.00"))</f>
        <v>USD 104,619.42</v>
      </c>
      <c r="I8" s="531"/>
      <c r="J8" s="531"/>
      <c r="K8" s="531" t="str">
        <f>(RIGHT($E13,4)&amp;TEXT((Expenses2)," #,##0.00"))</f>
        <v>USD 142,836.42</v>
      </c>
      <c r="L8" s="531"/>
      <c r="M8" s="258"/>
      <c r="N8" s="258" t="str">
        <f>(RIGHT($E13,4)&amp;TEXT((Expenses2*Contract_Duration)," #,##0.00"))</f>
        <v>USD 142,836.42</v>
      </c>
      <c r="O8" s="465" t="str">
        <f>(RIGHT($E13,4)&amp;TEXT(($Y$4+Expenses2)," #,##0.00"))</f>
        <v>USD 921,754.48</v>
      </c>
      <c r="P8" s="464"/>
      <c r="Q8" s="465" t="str">
        <f>(RIGHT($E13,4)&amp;TEXT((($Y$4+Expenses2)*Contract_Duration)," #,##0.00"))</f>
        <v>USD 921,754.48</v>
      </c>
      <c r="R8" s="519"/>
      <c r="S8" s="259" t="str">
        <f>(RIGHT($E13,4)&amp;TEXT(($Y$4+Equip_Fees2)," #,##0.00"))</f>
        <v>USD 883,537.48</v>
      </c>
      <c r="T8" s="259" t="str">
        <f>(RIGHT($E13,4)&amp;TEXT((($Y$4+Equip_Fees2)*Contract_Duration)," #,##0.00"))</f>
        <v>USD 883,537.48</v>
      </c>
      <c r="U8" s="260" t="str">
        <f>(RIGHT($E13,4)&amp;TEXT(($Y$4+Equip_Fees2+Expenses2)," #,##0.00"))</f>
        <v>USD 1,026,373.90</v>
      </c>
      <c r="V8" s="261" t="str">
        <f>(RIGHT($E13,4)&amp;TEXT(($Y$4+Equip_Fees2+Expenses2)*Contract_Duration," #,##0.00"))</f>
        <v>USD 1,026,373.90</v>
      </c>
      <c r="X8" s="160">
        <f>Expenses1</f>
        <v>108100</v>
      </c>
      <c r="Y8" s="160">
        <f>Expenses2</f>
        <v>142836.4216</v>
      </c>
      <c r="Z8" s="160">
        <f>Expenses3</f>
        <v>125353.9491</v>
      </c>
      <c r="AA8" s="196"/>
      <c r="AB8" s="196"/>
    </row>
    <row r="9" spans="1:29" s="178" customFormat="1" ht="18" customHeight="1" outlineLevel="1" thickBot="1">
      <c r="C9" s="262" t="str">
        <f>(RIGHT($E14,4)&amp;TEXT(($Z$4)," #,##0.00"))</f>
        <v>EUR 683,582.34</v>
      </c>
      <c r="D9" s="442" t="str">
        <f>(RIGHT($E14,4)&amp;TEXT(($Z4*Contract_Duration)," #,##0.00"))</f>
        <v>EUR 683,582.34</v>
      </c>
      <c r="E9" s="442"/>
      <c r="F9" s="442" t="str">
        <f>(RIGHT($E14,4)&amp;TEXT((Equip_Fees3)," #,##0.00"))</f>
        <v>EUR 91,814.52</v>
      </c>
      <c r="G9" s="442"/>
      <c r="H9" s="529" t="str">
        <f>(RIGHT($E14,4)&amp;TEXT((Equip_Fees3*Contract_Duration)," #,##0.00"))</f>
        <v>EUR 91,814.52</v>
      </c>
      <c r="I9" s="442"/>
      <c r="J9" s="442"/>
      <c r="K9" s="442" t="str">
        <f>(RIGHT($E14,4)&amp;TEXT((Expenses3)," #,##0.00"))</f>
        <v>EUR 125,353.95</v>
      </c>
      <c r="L9" s="442"/>
      <c r="M9" s="263"/>
      <c r="N9" s="263" t="str">
        <f>(RIGHT($E14,4)&amp;TEXT((Expenses3*Contract_Duration)," #,##0.00"))</f>
        <v>EUR 125,353.95</v>
      </c>
      <c r="O9" s="466" t="str">
        <f>(RIGHT($E14,4)&amp;TEXT(($Z$4+Expenses3)," #,##0.00"))</f>
        <v>EUR 808,936.28</v>
      </c>
      <c r="P9" s="467"/>
      <c r="Q9" s="466" t="str">
        <f>(RIGHT($E14,4)&amp;TEXT((($Z$4+Expenses3)*Contract_Duration)," #,##0.00"))</f>
        <v>EUR 808,936.28</v>
      </c>
      <c r="R9" s="520"/>
      <c r="S9" s="264" t="str">
        <f>(RIGHT($E14,4)&amp;TEXT(($Z$4+Equip_Fees3)," #,##0.00"))</f>
        <v>EUR 775,396.86</v>
      </c>
      <c r="T9" s="264" t="str">
        <f>(RIGHT($E14,4)&amp;TEXT((($Z$4+Equip_Fees3)*Contract_Duration)," #,##0.00"))</f>
        <v>EUR 775,396.86</v>
      </c>
      <c r="U9" s="265" t="str">
        <f>(RIGHT($E14,4)&amp;TEXT(($Z$4+Equip_Fees3+Expenses3)," #,##0.00"))</f>
        <v>EUR 900,750.80</v>
      </c>
      <c r="V9" s="266" t="str">
        <f>(RIGHT($E14,4)&amp;TEXT(($Z$4+Equip_Fees3+Expenses3)*Contract_Duration," #,##0.00"))</f>
        <v>EUR 900,750.80</v>
      </c>
      <c r="X9" s="158">
        <f>X4+X8</f>
        <v>697592.79999999993</v>
      </c>
      <c r="Y9" s="158">
        <f>Y4+Y8</f>
        <v>921754.47998080007</v>
      </c>
      <c r="Z9" s="158">
        <f>Z4+Z8</f>
        <v>808936.28440080001</v>
      </c>
      <c r="AA9" s="196" t="s">
        <v>435</v>
      </c>
      <c r="AB9" s="196"/>
    </row>
    <row r="10" spans="1:29" s="243" customFormat="1" ht="15.75" thickBot="1">
      <c r="C10" s="307"/>
      <c r="D10" s="308" t="s">
        <v>442</v>
      </c>
      <c r="E10" s="309"/>
      <c r="F10" s="310" t="str">
        <f>" RATE "&amp;UPPER(G12)</f>
        <v xml:space="preserve"> RATE PER HOUR</v>
      </c>
      <c r="G10" s="308"/>
      <c r="H10" s="309"/>
      <c r="I10" s="308" t="s">
        <v>270</v>
      </c>
      <c r="J10" s="309"/>
      <c r="K10" s="308" t="str">
        <f>"CONVERTION"</f>
        <v>CONVERTION</v>
      </c>
      <c r="L10" s="309" t="s">
        <v>394</v>
      </c>
      <c r="M10" s="311"/>
      <c r="N10" s="308" t="str">
        <f>UPPER(Q3)&amp;" CONSULTANCY ORGANISATION-RATES, EQUIPMENT COSTS &amp; EXPENSES."</f>
        <v>JASON JAMES MCCAFFREY CONSULTANCY ORGANISATION-RATES, EQUIPMENT COSTS &amp; EXPENSES.</v>
      </c>
      <c r="O10" s="312"/>
      <c r="P10" s="312"/>
      <c r="Q10" s="312"/>
      <c r="R10" s="313"/>
      <c r="S10" s="489" t="s">
        <v>438</v>
      </c>
      <c r="T10" s="490"/>
      <c r="U10" s="490"/>
      <c r="V10" s="491"/>
      <c r="X10" s="200">
        <f>X9*Contract_Duration</f>
        <v>697592.79999999993</v>
      </c>
      <c r="Y10" s="200">
        <f>Y9*Contract_Duration</f>
        <v>921754.47998080007</v>
      </c>
      <c r="Z10" s="200">
        <f>Z9*Contract_Duration</f>
        <v>808936.28440080001</v>
      </c>
      <c r="AA10" s="244" t="s">
        <v>435</v>
      </c>
      <c r="AB10" s="244"/>
    </row>
    <row r="11" spans="1:29" ht="8.1" customHeight="1" outlineLevel="1" thickBot="1">
      <c r="A11" s="177"/>
      <c r="C11" s="172"/>
      <c r="D11" s="213"/>
      <c r="E11" s="214"/>
      <c r="I11" s="150"/>
      <c r="J11" s="150"/>
      <c r="K11" s="215"/>
      <c r="L11" s="169"/>
      <c r="M11" s="169"/>
      <c r="S11" s="170"/>
      <c r="T11" s="170"/>
      <c r="U11" s="216"/>
      <c r="V11" s="171"/>
      <c r="W11" s="47"/>
      <c r="X11" s="200"/>
      <c r="Y11" s="200"/>
      <c r="Z11" s="200"/>
    </row>
    <row r="12" spans="1:29" ht="18" customHeight="1" outlineLevel="1" thickBot="1">
      <c r="A12" s="170">
        <f>VLOOKUP($D12,'EXCHANGE RATES'!$C$7:$H$150,6,FALSE)</f>
        <v>1</v>
      </c>
      <c r="C12" s="176">
        <v>1</v>
      </c>
      <c r="D12" s="140" t="s">
        <v>450</v>
      </c>
      <c r="E12" s="217" t="str">
        <f>IF($A$12=0,"-",INDEX('EXCHANGE RATES'!F:F,MATCH($A$12,'EXCHANGE RATES'!$A:$A,0)))</f>
        <v>GBP</v>
      </c>
      <c r="F12" s="151">
        <v>313.56</v>
      </c>
      <c r="G12" s="150" t="s">
        <v>306</v>
      </c>
      <c r="H12" s="150"/>
      <c r="I12" s="269" t="str">
        <f>IF($A$12=0,"-",INDEX('EXCHANGE RATES'!B:B,MATCH($A$12,'EXCHANGE RATES'!$A:$A,0)))</f>
        <v>GBP £</v>
      </c>
      <c r="J12" s="150"/>
      <c r="K12" s="272">
        <f>IF($A$12=0,"-",INDEX('EXCHANGE RATES'!D:D,MATCH($A$12,'EXCHANGE RATES'!$A:$A,0)))</f>
        <v>1</v>
      </c>
      <c r="L12" s="272">
        <f>IF($A$12=0,"-",INDEX('EXCHANGE RATES'!E:E,MATCH($A$12,'EXCHANGE RATES'!$A:$A,0)))</f>
        <v>1</v>
      </c>
      <c r="M12" s="215"/>
      <c r="N12" s="218" t="s">
        <v>426</v>
      </c>
      <c r="O12" s="219" t="s">
        <v>420</v>
      </c>
      <c r="P12" s="220"/>
      <c r="Q12" s="221"/>
      <c r="R12" s="222"/>
      <c r="S12" s="223"/>
      <c r="T12" s="223"/>
      <c r="U12" s="222"/>
      <c r="V12" s="173"/>
      <c r="X12" s="200">
        <f>X4+Equip_Fees1</f>
        <v>668669.79999999993</v>
      </c>
      <c r="Y12" s="200">
        <f>Y4+Equip_Fees2</f>
        <v>883537.47885280009</v>
      </c>
      <c r="Z12" s="200">
        <f>Z4+Equip_Fees3</f>
        <v>775396.85544780002</v>
      </c>
      <c r="AA12" s="169" t="s">
        <v>435</v>
      </c>
      <c r="AB12" s="187"/>
    </row>
    <row r="13" spans="1:29" ht="18" customHeight="1" outlineLevel="1" thickBot="1">
      <c r="A13" s="170">
        <f>VLOOKUP($D13,'EXCHANGE RATES'!$C$7:$H$150,6,FALSE)</f>
        <v>2</v>
      </c>
      <c r="B13" s="212">
        <f>HourlyRate1*L12</f>
        <v>313.56</v>
      </c>
      <c r="C13" s="176">
        <v>2</v>
      </c>
      <c r="D13" s="140" t="s">
        <v>22</v>
      </c>
      <c r="E13" s="217" t="str">
        <f>IF($A$13=0,"-",INDEX('EXCHANGE RATES'!F:F,MATCH($A$13,'EXCHANGE RATES'!$A:$A,0)))</f>
        <v>USD</v>
      </c>
      <c r="F13" s="267">
        <f>IF(D12="British Pound",(HourlyRate1*$K$13),($B$13*$K$13))</f>
        <v>414.31811616000005</v>
      </c>
      <c r="I13" s="270" t="str">
        <f>IF($A$13=0,"-",INDEX('EXCHANGE RATES'!B:B,MATCH($A$13,'EXCHANGE RATES'!$A:$A,0)))</f>
        <v>USD $</v>
      </c>
      <c r="J13" s="215"/>
      <c r="K13" s="270">
        <f>IF($A$13=0,"-",INDEX('EXCHANGE RATES'!D:D,MATCH($A$13,'EXCHANGE RATES'!$A:$A,0)))</f>
        <v>1.3213360000000001</v>
      </c>
      <c r="L13" s="270">
        <f>IF($A$13=0,"-",INDEX('EXCHANGE RATES'!E:E,MATCH($A$13,'EXCHANGE RATES'!$A:$A,0)))</f>
        <v>0.75680999999999998</v>
      </c>
      <c r="M13" s="215"/>
      <c r="N13" s="204" t="s">
        <v>447</v>
      </c>
      <c r="O13" s="249">
        <v>50</v>
      </c>
      <c r="P13" s="224" t="s">
        <v>430</v>
      </c>
      <c r="R13" s="222"/>
      <c r="S13" s="223"/>
      <c r="T13" s="223"/>
      <c r="U13" s="222"/>
      <c r="V13" s="173"/>
      <c r="X13" s="200">
        <f>X12*Contract_Duration</f>
        <v>668669.79999999993</v>
      </c>
      <c r="Y13" s="200">
        <f>Y12*Contract_Duration</f>
        <v>883537.47885280009</v>
      </c>
      <c r="Z13" s="200">
        <f>Z12*Contract_Duration</f>
        <v>775396.85544780002</v>
      </c>
      <c r="AA13" s="169" t="s">
        <v>435</v>
      </c>
      <c r="AB13" s="187"/>
      <c r="AC13" s="157"/>
    </row>
    <row r="14" spans="1:29" ht="18" customHeight="1" outlineLevel="1" thickBot="1">
      <c r="A14" s="170">
        <f>VLOOKUP($D14,'EXCHANGE RATES'!$C$7:$H$150,6,FALSE)</f>
        <v>3</v>
      </c>
      <c r="C14" s="176">
        <v>3</v>
      </c>
      <c r="D14" s="140" t="s">
        <v>25</v>
      </c>
      <c r="E14" s="217" t="str">
        <f>IF($A$14=0,"-",INDEX('EXCHANGE RATES'!F:F,MATCH($A$14,'EXCHANGE RATES'!$A:$A,0)))</f>
        <v>EUR</v>
      </c>
      <c r="F14" s="268">
        <f>IF($D$12="British Pound",(HourlyRate1*$K$14),($B$13*$K$14))</f>
        <v>363.60762516</v>
      </c>
      <c r="I14" s="271" t="str">
        <f>IF($A$14=0,"-",INDEX('EXCHANGE RATES'!B:B,MATCH($A$14,'EXCHANGE RATES'!$A:$A,0)))</f>
        <v>EUR €</v>
      </c>
      <c r="J14" s="215"/>
      <c r="K14" s="271">
        <f>IF($A$14=0,"-",INDEX('EXCHANGE RATES'!D:D,MATCH($A$14,'EXCHANGE RATES'!$A:$A,0)))</f>
        <v>1.1596109999999999</v>
      </c>
      <c r="L14" s="271">
        <f>IF($A$14=0,"-",INDEX('EXCHANGE RATES'!E:E,MATCH($A$14,'EXCHANGE RATES'!$A:$A,0)))</f>
        <v>0.86235799999999996</v>
      </c>
      <c r="M14" s="215"/>
      <c r="N14" s="205" t="s">
        <v>431</v>
      </c>
      <c r="O14" s="249">
        <v>150</v>
      </c>
      <c r="P14" s="224" t="s">
        <v>430</v>
      </c>
      <c r="R14" s="222"/>
      <c r="S14" s="223"/>
      <c r="T14" s="223"/>
      <c r="U14" s="222"/>
      <c r="V14" s="173"/>
      <c r="X14" s="201">
        <f>X4+Equip_Fees1+Expenses1</f>
        <v>776769.79999999993</v>
      </c>
      <c r="Y14" s="201">
        <f>Y4+Equip_Fees2+Expenses2</f>
        <v>1026373.9004528001</v>
      </c>
      <c r="Z14" s="201">
        <f>Z4+Equip_Fees3+Expenses3</f>
        <v>900750.80454779998</v>
      </c>
      <c r="AA14" s="202" t="s">
        <v>435</v>
      </c>
      <c r="AB14" s="187"/>
    </row>
    <row r="15" spans="1:29" ht="18" customHeight="1" outlineLevel="1" thickBot="1">
      <c r="C15" s="168"/>
      <c r="D15" s="225"/>
      <c r="E15" s="225"/>
      <c r="F15" s="226"/>
      <c r="I15" s="227"/>
      <c r="J15" s="227"/>
      <c r="K15" s="228"/>
      <c r="L15" s="228"/>
      <c r="M15" s="215"/>
      <c r="N15" s="205" t="s">
        <v>432</v>
      </c>
      <c r="O15" s="249">
        <v>140</v>
      </c>
      <c r="P15" s="224" t="s">
        <v>430</v>
      </c>
      <c r="R15" s="222"/>
      <c r="S15" s="223"/>
      <c r="T15" s="223"/>
      <c r="U15" s="222"/>
      <c r="V15" s="173"/>
      <c r="X15" s="201">
        <f>X14*Contract_Duration</f>
        <v>776769.79999999993</v>
      </c>
      <c r="Y15" s="201">
        <f>Y14*Contract_Duration</f>
        <v>1026373.9004528001</v>
      </c>
      <c r="Z15" s="201">
        <f>Z14*Contract_Duration</f>
        <v>900750.80454779998</v>
      </c>
      <c r="AA15" s="202" t="s">
        <v>435</v>
      </c>
      <c r="AB15" s="187"/>
    </row>
    <row r="16" spans="1:29" ht="18" customHeight="1" outlineLevel="1" thickBot="1">
      <c r="C16" s="168"/>
      <c r="D16" s="225"/>
      <c r="E16" s="225"/>
      <c r="F16" s="226"/>
      <c r="I16" s="227"/>
      <c r="J16" s="227"/>
      <c r="K16" s="228"/>
      <c r="L16" s="228"/>
      <c r="M16" s="229"/>
      <c r="N16" s="206" t="s">
        <v>433</v>
      </c>
      <c r="O16" s="249">
        <v>120</v>
      </c>
      <c r="P16" s="224" t="s">
        <v>430</v>
      </c>
      <c r="R16" s="230" t="s">
        <v>404</v>
      </c>
      <c r="S16" s="230" t="s">
        <v>403</v>
      </c>
      <c r="T16" s="273" t="str">
        <f>"ANNUAL "&amp;$I$12</f>
        <v>ANNUAL GBP £</v>
      </c>
      <c r="U16" s="273" t="str">
        <f>"ANNUAL "&amp;$I$13</f>
        <v>ANNUAL USD $</v>
      </c>
      <c r="V16" s="274" t="str">
        <f>"ANNUAL "&amp;$I$14</f>
        <v>ANNUAL EUR €</v>
      </c>
      <c r="X16" s="150" t="str">
        <f>"ANNUAL "&amp;$I$12</f>
        <v>ANNUAL GBP £</v>
      </c>
      <c r="Y16" s="150" t="str">
        <f>"ANNUAL "&amp;$I$13</f>
        <v>ANNUAL USD $</v>
      </c>
      <c r="Z16" s="150" t="str">
        <f>"ANNUAL "&amp;$I$14</f>
        <v>ANNUAL EUR €</v>
      </c>
      <c r="AA16" s="158"/>
      <c r="AB16" s="158"/>
    </row>
    <row r="17" spans="3:28" s="161" customFormat="1" ht="18" customHeight="1" thickBot="1">
      <c r="C17" s="424" t="str">
        <f>"CONSULTANCY FEE'S IN "&amp;UPPER($D$12)&amp;"'S"</f>
        <v>CONSULTANCY FEE'S IN U.K. POUND STERLING'S</v>
      </c>
      <c r="D17" s="425"/>
      <c r="E17" s="558"/>
      <c r="F17" s="559"/>
      <c r="G17" s="317" t="s">
        <v>274</v>
      </c>
      <c r="H17" s="318"/>
      <c r="I17" s="443" t="s">
        <v>412</v>
      </c>
      <c r="J17" s="444"/>
      <c r="K17" s="452" t="s">
        <v>393</v>
      </c>
      <c r="L17" s="471"/>
      <c r="M17" s="319"/>
      <c r="N17" s="452" t="s">
        <v>429</v>
      </c>
      <c r="O17" s="425"/>
      <c r="P17" s="320">
        <f>SUM(O13:O16)</f>
        <v>460</v>
      </c>
      <c r="Q17" s="321"/>
      <c r="R17" s="322"/>
      <c r="S17" s="323">
        <f>$P$17*Days_In_Week*Contract_Weeks_In_Year</f>
        <v>108100</v>
      </c>
      <c r="T17" s="321" t="str">
        <f>(RIGHT($E$12,4)&amp;TEXT(Expenses1," #,##0.00"))</f>
        <v>GBP 108,100.00</v>
      </c>
      <c r="U17" s="321" t="str">
        <f>(RIGHT($E$13,4)&amp;TEXT(Expenses2," #,##0.00"))</f>
        <v>USD 142,836.42</v>
      </c>
      <c r="V17" s="324" t="str">
        <f>(RIGHT($E$14,4)&amp;TEXT(Expenses3," #,##0.00"))</f>
        <v>EUR 125,353.95</v>
      </c>
      <c r="W17" s="194"/>
      <c r="X17" s="181">
        <f>IF($D$12="British Pound",$S17,$S17*$K$12)</f>
        <v>108100</v>
      </c>
      <c r="Y17" s="181">
        <f>IF($D$13="British Pound",$S17,$S17*$K$13)</f>
        <v>142836.4216</v>
      </c>
      <c r="Z17" s="181">
        <f>IF($D$14="British Pound",$S17,$S17*$K$14)</f>
        <v>125353.9491</v>
      </c>
      <c r="AA17" s="198"/>
      <c r="AB17" s="198"/>
    </row>
    <row r="18" spans="3:28" s="49" customFormat="1" ht="18" customHeight="1" outlineLevel="1" thickBot="1">
      <c r="C18" s="338" t="s">
        <v>275</v>
      </c>
      <c r="D18" s="166" t="s">
        <v>408</v>
      </c>
      <c r="E18" s="167"/>
      <c r="F18" s="299" t="str">
        <f>(RIGHT($E$12,4)&amp;TEXT(HourlyRate1," #,##0.00"))</f>
        <v>GBP 313.56</v>
      </c>
      <c r="G18" s="288">
        <f>Hours_In_Day</f>
        <v>8</v>
      </c>
      <c r="H18" s="289"/>
      <c r="I18" s="453" t="str">
        <f>(RIGHT($E$12,4)&amp;TEXT((HourlyRate1*Hours_In_Day)," #,##0.00"))</f>
        <v>GBP 2,508.48</v>
      </c>
      <c r="J18" s="557"/>
      <c r="K18" s="453" t="str">
        <f>(RIGHT($E$12,4)&amp;TEXT((HourlyRate1*Hours_In_Day)," #,##0.00"))</f>
        <v>GBP 2,508.48</v>
      </c>
      <c r="L18" s="468"/>
      <c r="M18" s="229"/>
      <c r="N18" s="517">
        <v>8</v>
      </c>
      <c r="O18" s="518"/>
      <c r="P18" s="150" t="s">
        <v>425</v>
      </c>
      <c r="Q18" s="231"/>
      <c r="R18" s="229"/>
      <c r="S18" s="230"/>
      <c r="T18" s="230"/>
      <c r="U18" s="231"/>
      <c r="V18" s="174"/>
      <c r="W18" s="46"/>
      <c r="X18" s="46"/>
      <c r="Y18" s="185"/>
      <c r="Z18" s="183"/>
      <c r="AA18" s="184"/>
      <c r="AB18" s="184"/>
    </row>
    <row r="19" spans="3:28" ht="18" customHeight="1" outlineLevel="1" thickBot="1">
      <c r="C19" s="457" t="str">
        <f>D12</f>
        <v>U.K. Pound Sterling</v>
      </c>
      <c r="D19" s="152" t="s">
        <v>409</v>
      </c>
      <c r="E19" s="153"/>
      <c r="F19" s="154"/>
      <c r="G19" s="290">
        <f>Days_In_Week</f>
        <v>5</v>
      </c>
      <c r="H19" s="291"/>
      <c r="I19" s="429" t="str">
        <f>(RIGHT($E$12,4)&amp;TEXT(HourlyRate1*Hours_In_Day*Days_In_Week," #,##0.00"))</f>
        <v>GBP 12,542.40</v>
      </c>
      <c r="J19" s="560"/>
      <c r="K19" s="429" t="str">
        <f>(RIGHT($E$12,4)&amp;TEXT(HourlyRate1*Hours_In_Day*Days_In_Week," #,##0.00"))</f>
        <v>GBP 12,542.40</v>
      </c>
      <c r="L19" s="430"/>
      <c r="M19" s="229"/>
      <c r="N19" s="515">
        <f>Hours_In_Day*Days_In_Week</f>
        <v>40</v>
      </c>
      <c r="O19" s="516"/>
      <c r="P19" s="232"/>
      <c r="Q19" s="233"/>
      <c r="R19" s="229"/>
      <c r="S19" s="486" t="s">
        <v>397</v>
      </c>
      <c r="T19" s="486"/>
      <c r="U19" s="487"/>
      <c r="V19" s="488"/>
      <c r="Y19" s="185"/>
      <c r="Z19" s="185"/>
      <c r="AA19" s="159"/>
      <c r="AB19" s="159"/>
    </row>
    <row r="20" spans="3:28" ht="18" customHeight="1" outlineLevel="1" thickBot="1">
      <c r="C20" s="458"/>
      <c r="D20" s="152" t="s">
        <v>410</v>
      </c>
      <c r="E20" s="153"/>
      <c r="F20" s="154"/>
      <c r="G20" s="292" t="str">
        <f>TEXT((Contract_Weeks_In_Year/Months_In_Year)," #,##0.00")&amp;" / "&amp;TEXT((Weeks_In_Year/Months_In_Year)," #,##0.00")&amp;" Weeks"</f>
        <v xml:space="preserve"> 3.92 /  4.33 Weeks</v>
      </c>
      <c r="H20" s="291"/>
      <c r="I20" s="429" t="str">
        <f>(RIGHT($E$12,4)&amp;TEXT((HourlyRate1*Hours_In_Day*Days_In_Week)*(Contract_Weeks_In_Year/Months_In_Year)," #,##0.00"))</f>
        <v>GBP 49,124.40</v>
      </c>
      <c r="J20" s="560"/>
      <c r="K20" s="429" t="str">
        <f>(RIGHT($E$12,4)&amp;TEXT(HourlyRate1*Hours_In_Day*Days_In_Week*(Weeks_In_Year/Months_In_Year)," #,##0.00"))</f>
        <v>GBP 54,350.40</v>
      </c>
      <c r="L20" s="430"/>
      <c r="M20" s="229"/>
      <c r="N20" s="513">
        <v>5</v>
      </c>
      <c r="O20" s="514"/>
      <c r="P20" s="150" t="s">
        <v>424</v>
      </c>
      <c r="Q20" s="231"/>
      <c r="R20" s="229"/>
      <c r="S20" s="487"/>
      <c r="T20" s="487"/>
      <c r="U20" s="487"/>
      <c r="V20" s="488"/>
      <c r="Y20" s="185"/>
      <c r="Z20" s="185"/>
      <c r="AA20" s="159"/>
      <c r="AB20" s="159"/>
    </row>
    <row r="21" spans="3:28" ht="18" customHeight="1" outlineLevel="1" thickBot="1">
      <c r="C21" s="458"/>
      <c r="D21" s="152" t="s">
        <v>411</v>
      </c>
      <c r="E21" s="153"/>
      <c r="F21" s="154"/>
      <c r="G21" s="293" t="str">
        <f>TEXT((Contract_Weeks_In_Year)," #,##0.0")&amp;" / "&amp;TEXT((Weeks_In_Year)," #,##0.0")&amp;" Weeks"</f>
        <v xml:space="preserve"> 47.0 /  52.0 Weeks</v>
      </c>
      <c r="H21" s="291"/>
      <c r="I21" s="429" t="str">
        <f>(RIGHT($E$12,4)&amp;TEXT(HourlyRate1*Hours_In_Day*Days_In_Week*Contract_Weeks_In_Year," #,##0.00"))</f>
        <v>GBP 589,492.80</v>
      </c>
      <c r="J21" s="433"/>
      <c r="K21" s="429" t="str">
        <f>(RIGHT($E$12,4)&amp;TEXT(HourlyRate1*Hours_In_Day*Days_In_Week*(Weeks_In_Year/Months_In_Year)*Months_In_Year," #,##0.00"))</f>
        <v>GBP 652,204.80</v>
      </c>
      <c r="L21" s="430"/>
      <c r="M21" s="229"/>
      <c r="N21" s="511">
        <v>47</v>
      </c>
      <c r="O21" s="512"/>
      <c r="P21" s="234" t="s">
        <v>305</v>
      </c>
      <c r="R21" s="229"/>
      <c r="S21" s="487"/>
      <c r="T21" s="487"/>
      <c r="U21" s="487"/>
      <c r="V21" s="488"/>
      <c r="Y21" s="189"/>
      <c r="Z21" s="180"/>
      <c r="AA21" s="159"/>
      <c r="AB21" s="159"/>
    </row>
    <row r="22" spans="3:28" ht="18" customHeight="1" outlineLevel="1" thickBot="1">
      <c r="C22" s="458"/>
      <c r="D22" s="163" t="s">
        <v>407</v>
      </c>
      <c r="E22" s="164"/>
      <c r="F22" s="165"/>
      <c r="G22" s="294">
        <f>Contract_Duration</f>
        <v>1</v>
      </c>
      <c r="H22" s="295"/>
      <c r="I22" s="431" t="str">
        <f>(RIGHT($E$12,4)&amp;TEXT(HourlyRate1*Hours_In_Day*Days_In_Week*Contract_Weeks_In_Year*Contract_Duration," #,##0.00"))</f>
        <v>GBP 589,492.80</v>
      </c>
      <c r="J22" s="447"/>
      <c r="K22" s="431" t="str">
        <f>(RIGHT($E$12,4)&amp;TEXT(HourlyRate1*Hours_In_Day*G19*(Weeks_In_Year/Months_In_Year)*Months_In_Year*G22," #,##0.00"))</f>
        <v>GBP 652,204.80</v>
      </c>
      <c r="L22" s="432"/>
      <c r="M22" s="229"/>
      <c r="N22" s="509">
        <v>1</v>
      </c>
      <c r="O22" s="510"/>
      <c r="P22" s="150" t="s">
        <v>391</v>
      </c>
      <c r="R22" s="229"/>
      <c r="V22" s="175"/>
      <c r="Z22" s="180"/>
    </row>
    <row r="23" spans="3:28" s="161" customFormat="1" ht="16.350000000000001" customHeight="1" outlineLevel="1" thickBot="1">
      <c r="C23" s="450" t="s">
        <v>419</v>
      </c>
      <c r="D23" s="451"/>
      <c r="E23" s="389"/>
      <c r="F23" s="390"/>
      <c r="G23" s="391" t="s">
        <v>274</v>
      </c>
      <c r="H23" s="392"/>
      <c r="I23" s="472" t="s">
        <v>428</v>
      </c>
      <c r="J23" s="561"/>
      <c r="K23" s="472" t="s">
        <v>427</v>
      </c>
      <c r="L23" s="473"/>
      <c r="M23" s="393"/>
      <c r="N23" s="393"/>
      <c r="O23" s="393"/>
      <c r="P23" s="393"/>
      <c r="Q23" s="394"/>
      <c r="R23" s="394"/>
      <c r="S23" s="394"/>
      <c r="T23" s="394"/>
      <c r="U23" s="395"/>
      <c r="V23" s="396"/>
      <c r="Z23" s="162"/>
      <c r="AA23" s="197"/>
      <c r="AB23" s="197"/>
    </row>
    <row r="24" spans="3:28" ht="18" customHeight="1" outlineLevel="2">
      <c r="C24" s="296" t="str">
        <f>(RIGHT($E12,4)&amp;TEXT((((Equip_Fees1/Weeks_In_Year)/Days_In_Week)/Hours_In_Day)+(((Expenses1/Contract_Weeks_In_Year)/Days_In_Week)/Hours_In_Day)+(HourlyRate1)," #,##0.00"))&amp;" Per Hour"</f>
        <v>GBP 409.13 Per Hour</v>
      </c>
      <c r="D24" s="455" t="s">
        <v>414</v>
      </c>
      <c r="E24" s="456"/>
      <c r="F24" s="154"/>
      <c r="G24" s="155"/>
      <c r="H24" s="154"/>
      <c r="I24" s="453" t="str">
        <f>(RIGHT($E12,4)&amp;TEXT((((Equip_Fees1/Weeks_In_Year)/Days_In_Week)/Hours_In_Day)," #,##0.00"))</f>
        <v>GBP 38.07</v>
      </c>
      <c r="J24" s="454"/>
      <c r="K24" s="453" t="str">
        <f>(RIGHT($E12,4)&amp;TEXT((((Expenses1/Contract_Weeks_In_Year)/Days_In_Week)/Hours_In_Day)," #,##0.00"))</f>
        <v>GBP 57.50</v>
      </c>
      <c r="L24" s="474"/>
      <c r="N24" s="435" t="str">
        <f>"The perminant Hours_In_Day are calculated by dividing "&amp;Weeks_In_Year&amp;" Weeks by "&amp;Contract_Weeks_In_Year&amp;" Weeks. This allows for "&amp;Weeks_In_Year-Contract_Weeks_In_Year&amp;" Weeks Paid Annual Leave for perminant employment."</f>
        <v>The perminant Hours_In_Day are calculated by dividing 52 Weeks by 47 Weeks. This allows for 5 Weeks Paid Annual Leave for perminant employment.</v>
      </c>
      <c r="O24" s="436"/>
      <c r="P24" s="436"/>
      <c r="Q24" s="207"/>
      <c r="R24" s="207"/>
      <c r="S24" s="207"/>
      <c r="T24" s="207"/>
      <c r="U24" s="207"/>
      <c r="V24" s="175"/>
      <c r="Z24" s="180"/>
    </row>
    <row r="25" spans="3:28" ht="18" customHeight="1" outlineLevel="2">
      <c r="C25" s="297" t="str">
        <f>(RIGHT($E12,4)&amp;TEXT(((Equip_Fees1/Weeks_In_Year)/Days_In_Week)+((Expenses1/Contract_Weeks_In_Year)/Days_In_Week)+(HourlyRate1*Hours_In_Day)," #,##0.00"))&amp;" Per Diem"</f>
        <v>GBP 3,273.01 Per Diem</v>
      </c>
      <c r="D25" s="455" t="s">
        <v>415</v>
      </c>
      <c r="E25" s="456"/>
      <c r="F25" s="154"/>
      <c r="G25" s="292">
        <f>Hours_In_Day</f>
        <v>8</v>
      </c>
      <c r="H25" s="291"/>
      <c r="I25" s="429" t="str">
        <f>(RIGHT($E12,4)&amp;TEXT(((Equip_Fees1/Weeks_In_Year)/Days_In_Week)," #,##0.00"))</f>
        <v>GBP 304.53</v>
      </c>
      <c r="J25" s="433"/>
      <c r="K25" s="429" t="str">
        <f>(RIGHT($E12,4)&amp;TEXT(((Expenses1/Contract_Weeks_In_Year)/Days_In_Week)," #,##0.00"))</f>
        <v>GBP 460.00</v>
      </c>
      <c r="L25" s="430"/>
      <c r="N25" s="437"/>
      <c r="O25" s="437"/>
      <c r="P25" s="437"/>
      <c r="Q25" s="229"/>
      <c r="R25" s="229"/>
      <c r="S25" s="229"/>
      <c r="T25" s="229"/>
      <c r="U25" s="229"/>
      <c r="V25" s="175"/>
      <c r="Z25" s="180"/>
    </row>
    <row r="26" spans="3:28" ht="18" customHeight="1" outlineLevel="2">
      <c r="C26" s="297" t="str">
        <f>(RIGHT($E12,4)&amp;TEXT((Equip_Fees1/Weeks_In_Year)+(Expenses1/Contract_Weeks_In_Year)+(HourlyRate1*Hours_In_Day*Days_In_Week)," #,##0.00"))&amp;" Per Week"</f>
        <v>GBP 16,365.03 Per Week</v>
      </c>
      <c r="D26" s="455" t="s">
        <v>413</v>
      </c>
      <c r="E26" s="456"/>
      <c r="F26" s="154"/>
      <c r="G26" s="290">
        <f>Days_In_Week</f>
        <v>5</v>
      </c>
      <c r="H26" s="291"/>
      <c r="I26" s="429" t="str">
        <f>(RIGHT($E12,4)&amp;TEXT((Equip_Fees1/Weeks_In_Year)," #,##0.00"))</f>
        <v>GBP 1,522.63</v>
      </c>
      <c r="J26" s="433"/>
      <c r="K26" s="429" t="str">
        <f>(RIGHT($E12,4)&amp;TEXT((Expenses1/Contract_Weeks_In_Year)," #,##0.00"))</f>
        <v>GBP 2,300.00</v>
      </c>
      <c r="L26" s="434"/>
      <c r="N26" s="235">
        <v>12</v>
      </c>
      <c r="O26" s="235"/>
      <c r="Q26" s="236"/>
      <c r="V26" s="175"/>
      <c r="W26" s="161"/>
      <c r="Z26" s="180"/>
    </row>
    <row r="27" spans="3:28" ht="18" customHeight="1" outlineLevel="2" thickBot="1">
      <c r="C27" s="297" t="str">
        <f>(RIGHT($E12,4)&amp;TEXT((Equip_Fees1/Months_In_Year)+(Expenses1/Months_In_Year)+((HourlyRate1*Hours_In_Day*Days_In_Week)*(Contract_Weeks_In_Year/Months_In_Year))," #,##0.00"))&amp;" Per Month"</f>
        <v>GBP 64,730.82 Per Month</v>
      </c>
      <c r="D27" s="455" t="s">
        <v>416</v>
      </c>
      <c r="E27" s="456"/>
      <c r="F27" s="154"/>
      <c r="G27" s="292" t="str">
        <f>TEXT((Contract_Weeks_In_Year/Months_In_Year)," #,##0.00")&amp;" / "&amp;TEXT((Weeks_In_Year/Months_In_Year)," #,##0.00")&amp;" Weeks"</f>
        <v xml:space="preserve"> 3.92 /  4.33 Weeks</v>
      </c>
      <c r="H27" s="291"/>
      <c r="I27" s="429" t="str">
        <f>(RIGHT($E12,4)&amp;TEXT((Equip_Fees1/Months_In_Year)," #,##0.00"))</f>
        <v>GBP 6,598.08</v>
      </c>
      <c r="J27" s="433"/>
      <c r="K27" s="429" t="str">
        <f>(RIGHT($E12,4)&amp;TEXT((Expenses1/Months_In_Year)," #,##0.00"))</f>
        <v>GBP 9,008.33</v>
      </c>
      <c r="L27" s="430"/>
      <c r="N27" s="237">
        <v>52</v>
      </c>
      <c r="O27" s="237"/>
      <c r="R27" s="404" t="s">
        <v>399</v>
      </c>
      <c r="V27" s="175"/>
      <c r="W27" s="161"/>
    </row>
    <row r="28" spans="3:28" ht="18" customHeight="1" outlineLevel="2" thickBot="1">
      <c r="C28" s="297" t="str">
        <f>(RIGHT($E12,4)&amp;TEXT((Equip_Fees1)+(Expenses1)+(HourlyRate1*Hours_In_Day*Days_In_Week*Contract_Weeks_In_Year)," #,##0"))&amp;" Per Year"</f>
        <v>GBP 776,770 Per Year</v>
      </c>
      <c r="D28" s="455" t="s">
        <v>417</v>
      </c>
      <c r="E28" s="456"/>
      <c r="F28" s="154"/>
      <c r="G28" s="293">
        <f>Months_In_Year</f>
        <v>12</v>
      </c>
      <c r="H28" s="291"/>
      <c r="I28" s="429" t="str">
        <f>(RIGHT($E12,4)&amp;TEXT((Equip_Fees1)," #,##0.00"))</f>
        <v>GBP 79,177.00</v>
      </c>
      <c r="J28" s="433"/>
      <c r="K28" s="429" t="str">
        <f>(RIGHT($E12,4)&amp;TEXT((Expenses1)," #,##0.00"))</f>
        <v>GBP 108,100.00</v>
      </c>
      <c r="L28" s="430"/>
      <c r="N28" s="483" t="s">
        <v>445</v>
      </c>
      <c r="O28" s="484"/>
      <c r="P28" s="485"/>
      <c r="Q28" s="214" t="s">
        <v>29</v>
      </c>
      <c r="R28" s="179">
        <v>50000</v>
      </c>
      <c r="S28" s="230" t="s">
        <v>403</v>
      </c>
      <c r="T28" s="273" t="str">
        <f>"ANNUAL "&amp;$I$12</f>
        <v>ANNUAL GBP £</v>
      </c>
      <c r="U28" s="273" t="str">
        <f>"ANNUAL "&amp;$I$13</f>
        <v>ANNUAL USD $</v>
      </c>
      <c r="V28" s="274" t="str">
        <f>"ANNUAL "&amp;$I$14</f>
        <v>ANNUAL EUR €</v>
      </c>
      <c r="W28" s="161"/>
      <c r="X28" s="378" t="str">
        <f>"ANNUAL "&amp;$I$12</f>
        <v>ANNUAL GBP £</v>
      </c>
      <c r="Y28" s="378" t="str">
        <f>"ANNUAL "&amp;$I$13</f>
        <v>ANNUAL USD $</v>
      </c>
      <c r="Z28" s="378" t="str">
        <f>"ANNUAL "&amp;$I$14</f>
        <v>ANNUAL EUR €</v>
      </c>
      <c r="AA28" s="158"/>
      <c r="AB28" s="158"/>
    </row>
    <row r="29" spans="3:28" ht="18" customHeight="1" outlineLevel="2" thickBot="1">
      <c r="C29" s="298" t="str">
        <f>(RIGHT($E12,4)&amp;TEXT((Equip_Fees1*Contract_Duration)+(Expenses1*Contract_Duration)+(HourlyRate1*Hours_In_Day*Days_In_Week*Contract_Weeks_In_Year*Contract_Duration)," #,##0"))&amp;" Per Project"</f>
        <v>GBP 776,770 Per Project</v>
      </c>
      <c r="D29" s="455" t="s">
        <v>418</v>
      </c>
      <c r="E29" s="456"/>
      <c r="G29" s="294">
        <f>Contract_Duration</f>
        <v>1</v>
      </c>
      <c r="H29" s="295"/>
      <c r="I29" s="429" t="str">
        <f>(RIGHT($E12,4)&amp;TEXT((Equip_Fees1*Contract_Duration)," #,##0.00"))</f>
        <v>GBP 79,177.00</v>
      </c>
      <c r="J29" s="433"/>
      <c r="K29" s="431" t="str">
        <f>(RIGHT($E12,4)&amp;TEXT((Expenses1*Contract_Duration)," #,##0.00"))</f>
        <v>GBP 108,100.00</v>
      </c>
      <c r="L29" s="432"/>
      <c r="N29" s="238"/>
      <c r="O29" s="238"/>
      <c r="P29" s="238"/>
      <c r="Q29" s="238"/>
      <c r="R29" s="239" t="s">
        <v>398</v>
      </c>
      <c r="S29" s="275">
        <f>R28</f>
        <v>50000</v>
      </c>
      <c r="T29" s="275" t="str">
        <f>(RIGHT($E$12,4)&amp;TEXT($X29," #,##0.00"))</f>
        <v>GBP 50,000.00</v>
      </c>
      <c r="U29" s="276" t="str">
        <f>(RIGHT($E$13,4)&amp;TEXT($Y29," #,##0.00"))</f>
        <v>USD 66,066.80</v>
      </c>
      <c r="V29" s="277" t="str">
        <f>(RIGHT($E$14,4)&amp;TEXT((Z29)," #,##0.00"))</f>
        <v>EUR 57,980.55</v>
      </c>
      <c r="W29" s="161"/>
      <c r="X29" s="180">
        <f>IF($D$12="British Pound",$S29,$S29*$K$12)</f>
        <v>50000</v>
      </c>
      <c r="Y29" s="180">
        <f>IF($D$13="British Pound",$S29,$S29*$K$13)</f>
        <v>66066.8</v>
      </c>
      <c r="Z29" s="180">
        <f>IF($D$14="British Pound",$S29,$S29*$K$14)</f>
        <v>57980.549999999996</v>
      </c>
      <c r="AA29" s="180"/>
      <c r="AB29" s="180"/>
    </row>
    <row r="30" spans="3:28" s="161" customFormat="1" ht="18" customHeight="1" thickBot="1">
      <c r="C30" s="422" t="str">
        <f>"CONSULTANCY FEE'S IN "&amp;UPPER($D$13)&amp;"'S"</f>
        <v>CONSULTANCY FEE'S IN U.S. DOLLAR'S</v>
      </c>
      <c r="D30" s="423"/>
      <c r="E30" s="587"/>
      <c r="F30" s="588"/>
      <c r="G30" s="333" t="s">
        <v>274</v>
      </c>
      <c r="H30" s="334"/>
      <c r="I30" s="469" t="s">
        <v>412</v>
      </c>
      <c r="J30" s="423"/>
      <c r="K30" s="469" t="s">
        <v>393</v>
      </c>
      <c r="L30" s="470"/>
      <c r="M30" s="335"/>
      <c r="N30" s="335" t="s">
        <v>396</v>
      </c>
      <c r="O30" s="335"/>
      <c r="P30" s="335"/>
      <c r="Q30" s="335"/>
      <c r="R30" s="336" t="s">
        <v>399</v>
      </c>
      <c r="S30" s="337" t="s">
        <v>401</v>
      </c>
      <c r="T30" s="314" t="str">
        <f>$I$12&amp; " ANNUAL"</f>
        <v>GBP £ ANNUAL</v>
      </c>
      <c r="U30" s="315" t="str">
        <f>$I$13&amp; " ANNUAL"</f>
        <v>USD $ ANNUAL</v>
      </c>
      <c r="V30" s="316" t="str">
        <f>$I$14&amp; " ANNUAL"</f>
        <v>EUR € ANNUAL</v>
      </c>
      <c r="X30" s="178"/>
      <c r="Y30" s="178"/>
      <c r="Z30" s="178"/>
      <c r="AA30" s="196"/>
      <c r="AB30" s="196"/>
    </row>
    <row r="31" spans="3:28" ht="18" customHeight="1" outlineLevel="1" thickBot="1">
      <c r="C31" s="338" t="s">
        <v>281</v>
      </c>
      <c r="D31" s="166" t="s">
        <v>276</v>
      </c>
      <c r="E31" s="167"/>
      <c r="F31" s="299" t="str">
        <f>(RIGHT($E$13,4)&amp;TEXT(HourlyRate2," #,##0.00"))</f>
        <v>USD 414.32</v>
      </c>
      <c r="G31" s="288">
        <f>Hours_In_Day</f>
        <v>8</v>
      </c>
      <c r="H31" s="289"/>
      <c r="I31" s="453" t="str">
        <f>(RIGHT($E$13,4)&amp;TEXT(HourlyRate2*Hours_In_Day," #,##0.00"))</f>
        <v>USD 3,314.54</v>
      </c>
      <c r="J31" s="557"/>
      <c r="K31" s="453" t="str">
        <f>(RIGHT($E$13,4)&amp;TEXT(HourlyRate2*Hours_In_Day," #,##0.00"))</f>
        <v>USD 3,314.54</v>
      </c>
      <c r="L31" s="468"/>
      <c r="M31" s="229"/>
      <c r="N31" s="506">
        <v>1</v>
      </c>
      <c r="O31" s="507"/>
      <c r="P31" s="508"/>
      <c r="Q31" s="214" t="s">
        <v>29</v>
      </c>
      <c r="R31" s="251">
        <v>500</v>
      </c>
      <c r="S31" s="287">
        <f>R31/N31</f>
        <v>500</v>
      </c>
      <c r="T31" s="278" t="str">
        <f t="shared" ref="T31:T36" si="0">(RIGHT($E$12,4)&amp;TEXT($X31," #,##0.00"))</f>
        <v>GBP 500.00</v>
      </c>
      <c r="U31" s="279" t="str">
        <f t="shared" ref="U31:U36" si="1">(RIGHT($E$13,4)&amp;TEXT($Y31," #,##0.00"))</f>
        <v>USD 660.67</v>
      </c>
      <c r="V31" s="280" t="str">
        <f t="shared" ref="V31:V36" si="2">(RIGHT($E$14,4)&amp;TEXT((Z31)," #,##0.00"))</f>
        <v>EUR 579.81</v>
      </c>
      <c r="X31" s="379">
        <f t="shared" ref="X31:X36" si="3">IF($D$12="British Pound",$S31,$S31*$K$12)</f>
        <v>500</v>
      </c>
      <c r="Y31" s="379">
        <f t="shared" ref="Y31:Y36" si="4">IF($D$13="British Pound",$S31,$S31*$K$13)</f>
        <v>660.66800000000001</v>
      </c>
      <c r="Z31" s="379">
        <f t="shared" ref="Z31:Z36" si="5">IF($D$14="British Pound",$S31,$S31*$K$14)</f>
        <v>579.80549999999994</v>
      </c>
      <c r="AA31" s="180"/>
      <c r="AB31" s="180"/>
    </row>
    <row r="32" spans="3:28" ht="18" customHeight="1" outlineLevel="1" thickBot="1">
      <c r="C32" s="457" t="str">
        <f>D13</f>
        <v>U.S. Dollar</v>
      </c>
      <c r="D32" s="152" t="s">
        <v>277</v>
      </c>
      <c r="E32" s="153"/>
      <c r="F32" s="154"/>
      <c r="G32" s="290">
        <f>Days_In_Week</f>
        <v>5</v>
      </c>
      <c r="H32" s="291"/>
      <c r="I32" s="429" t="str">
        <f>(RIGHT($E$13,4)&amp;TEXT(HourlyRate2*Hours_In_Day*Days_In_Week," #,##0.00"))</f>
        <v>USD 16,572.72</v>
      </c>
      <c r="J32" s="560"/>
      <c r="K32" s="429" t="str">
        <f>(RIGHT($E$13,4)&amp;TEXT(HourlyRate2*Hours_In_Day*Days_In_Week," #,##0.00"))</f>
        <v>USD 16,572.72</v>
      </c>
      <c r="L32" s="430"/>
      <c r="M32" s="229"/>
      <c r="N32" s="492">
        <v>5</v>
      </c>
      <c r="O32" s="493"/>
      <c r="P32" s="478"/>
      <c r="Q32" s="214" t="s">
        <v>29</v>
      </c>
      <c r="R32" s="179">
        <v>25000</v>
      </c>
      <c r="S32" s="287">
        <f>R32/N32</f>
        <v>5000</v>
      </c>
      <c r="T32" s="281" t="str">
        <f t="shared" si="0"/>
        <v>GBP 5,000.00</v>
      </c>
      <c r="U32" s="282" t="str">
        <f t="shared" si="1"/>
        <v>USD 6,606.68</v>
      </c>
      <c r="V32" s="283" t="str">
        <f t="shared" si="2"/>
        <v>EUR 5,798.06</v>
      </c>
      <c r="X32" s="379">
        <f t="shared" si="3"/>
        <v>5000</v>
      </c>
      <c r="Y32" s="379">
        <f t="shared" si="4"/>
        <v>6606.68</v>
      </c>
      <c r="Z32" s="379">
        <f t="shared" si="5"/>
        <v>5798.0549999999994</v>
      </c>
      <c r="AA32" s="180"/>
      <c r="AB32" s="180"/>
    </row>
    <row r="33" spans="3:28" ht="18" customHeight="1" outlineLevel="1" thickBot="1">
      <c r="C33" s="458"/>
      <c r="D33" s="152" t="s">
        <v>278</v>
      </c>
      <c r="E33" s="153"/>
      <c r="F33" s="154"/>
      <c r="G33" s="292" t="str">
        <f>TEXT((Contract_Weeks_In_Year/Months_In_Year)," #,##0.00")&amp;"/"&amp;TEXT((Weeks_In_Year/Months_In_Year)," #,##0.00")&amp;" Weeks"</f>
        <v xml:space="preserve"> 3.92/ 4.33 Weeks</v>
      </c>
      <c r="H33" s="291"/>
      <c r="I33" s="429" t="str">
        <f>(RIGHT($E$13,4)&amp;TEXT(HourlyRate2*Hours_In_Day*Days_In_Week*(Contract_Weeks_In_Year/Months_In_Year)," #,##0.00"))</f>
        <v>USD 64,909.84</v>
      </c>
      <c r="J33" s="560"/>
      <c r="K33" s="429" t="str">
        <f>(RIGHT($E$13,4)&amp;TEXT(HourlyRate2*Hours_In_Day*Days_In_Week*(Weeks_In_Year/Months_In_Year)," #,##0.00"))</f>
        <v>USD 71,815.14</v>
      </c>
      <c r="L33" s="430"/>
      <c r="M33" s="229"/>
      <c r="N33" s="494">
        <v>3</v>
      </c>
      <c r="O33" s="495"/>
      <c r="P33" s="478"/>
      <c r="Q33" s="214" t="s">
        <v>29</v>
      </c>
      <c r="R33" s="179">
        <v>15000</v>
      </c>
      <c r="S33" s="287">
        <f>R33/N33</f>
        <v>5000</v>
      </c>
      <c r="T33" s="281" t="str">
        <f t="shared" si="0"/>
        <v>GBP 5,000.00</v>
      </c>
      <c r="U33" s="282" t="str">
        <f t="shared" si="1"/>
        <v>USD 6,606.68</v>
      </c>
      <c r="V33" s="283" t="str">
        <f t="shared" si="2"/>
        <v>EUR 5,798.06</v>
      </c>
      <c r="X33" s="379">
        <f t="shared" si="3"/>
        <v>5000</v>
      </c>
      <c r="Y33" s="379">
        <f t="shared" si="4"/>
        <v>6606.68</v>
      </c>
      <c r="Z33" s="379">
        <f t="shared" si="5"/>
        <v>5798.0549999999994</v>
      </c>
      <c r="AA33" s="180"/>
      <c r="AB33" s="180"/>
    </row>
    <row r="34" spans="3:28" ht="18" customHeight="1" outlineLevel="1" thickBot="1">
      <c r="C34" s="458"/>
      <c r="D34" s="152" t="s">
        <v>279</v>
      </c>
      <c r="E34" s="153"/>
      <c r="F34" s="154"/>
      <c r="G34" s="293" t="str">
        <f>TEXT((Contract_Weeks_In_Year)," #,##0.0")&amp;" / "&amp;TEXT((Weeks_In_Year)," #,##0.0")&amp;" Weeks"</f>
        <v xml:space="preserve"> 47.0 /  52.0 Weeks</v>
      </c>
      <c r="H34" s="291"/>
      <c r="I34" s="429" t="str">
        <f>(RIGHT($E$13,4)&amp;TEXT(HourlyRate2*Hours_In_Day*Days_In_Week*Contract_Weeks_In_Year," #,##0.00"))</f>
        <v>USD 778,918.06</v>
      </c>
      <c r="J34" s="433"/>
      <c r="K34" s="429" t="str">
        <f>(RIGHT($E$13,4)&amp;TEXT(HourlyRate2*Hours_In_Day*Days_In_Week*(Weeks_In_Year)," #,##0.00"))</f>
        <v>USD 861,781.68</v>
      </c>
      <c r="L34" s="430"/>
      <c r="M34" s="229"/>
      <c r="N34" s="496">
        <v>1</v>
      </c>
      <c r="O34" s="497"/>
      <c r="P34" s="498"/>
      <c r="Q34" s="214" t="s">
        <v>29</v>
      </c>
      <c r="R34" s="179">
        <v>3594</v>
      </c>
      <c r="S34" s="287">
        <f>R34/N34</f>
        <v>3594</v>
      </c>
      <c r="T34" s="281" t="str">
        <f t="shared" si="0"/>
        <v>GBP 3,594.00</v>
      </c>
      <c r="U34" s="282" t="str">
        <f t="shared" si="1"/>
        <v>USD 4,748.88</v>
      </c>
      <c r="V34" s="283" t="str">
        <f t="shared" si="2"/>
        <v>EUR 4,167.64</v>
      </c>
      <c r="X34" s="379">
        <f t="shared" si="3"/>
        <v>3594</v>
      </c>
      <c r="Y34" s="379">
        <f t="shared" si="4"/>
        <v>4748.8815840000007</v>
      </c>
      <c r="Z34" s="379">
        <f t="shared" si="5"/>
        <v>4167.6419340000002</v>
      </c>
      <c r="AA34" s="180"/>
      <c r="AB34" s="180"/>
    </row>
    <row r="35" spans="3:28" ht="18" customHeight="1" outlineLevel="1" thickBot="1">
      <c r="C35" s="458"/>
      <c r="D35" s="163" t="s">
        <v>280</v>
      </c>
      <c r="E35" s="164"/>
      <c r="F35" s="165"/>
      <c r="G35" s="294">
        <f>Contract_Duration</f>
        <v>1</v>
      </c>
      <c r="H35" s="295"/>
      <c r="I35" s="431" t="str">
        <f>(RIGHT($E$13,4)&amp;TEXT(HourlyRate2*Hours_In_Day*Days_In_Week*Contract_Weeks_In_Year*Contract_Duration," #,##0.00"))</f>
        <v>USD 778,918.06</v>
      </c>
      <c r="J35" s="447"/>
      <c r="K35" s="429" t="str">
        <f>(RIGHT($E$13,4)&amp;TEXT(HourlyRate2*Hours_In_Day*Days_In_Week*(Weeks_In_Year)*Contract_Duration," #,##0.00"))</f>
        <v>USD 861,781.68</v>
      </c>
      <c r="L35" s="430"/>
      <c r="M35" s="229"/>
      <c r="N35" s="499">
        <v>3</v>
      </c>
      <c r="O35" s="500"/>
      <c r="P35" s="501"/>
      <c r="Q35" s="214" t="s">
        <v>29</v>
      </c>
      <c r="R35" s="250">
        <v>5000</v>
      </c>
      <c r="S35" s="287">
        <f>R35/N35</f>
        <v>1666.6666666666667</v>
      </c>
      <c r="T35" s="281" t="str">
        <f t="shared" si="0"/>
        <v>GBP 1,666.67</v>
      </c>
      <c r="U35" s="282" t="str">
        <f t="shared" si="1"/>
        <v>USD 2,202.23</v>
      </c>
      <c r="V35" s="283" t="str">
        <f t="shared" si="2"/>
        <v>EUR 1,932.69</v>
      </c>
      <c r="X35" s="379">
        <f t="shared" si="3"/>
        <v>1666.6666666666667</v>
      </c>
      <c r="Y35" s="379">
        <f t="shared" si="4"/>
        <v>2202.2266666666669</v>
      </c>
      <c r="Z35" s="379">
        <f t="shared" si="5"/>
        <v>1932.6849999999999</v>
      </c>
      <c r="AA35" s="180"/>
      <c r="AB35" s="180"/>
    </row>
    <row r="36" spans="3:28" ht="19.5" outlineLevel="1" thickBot="1">
      <c r="C36" s="448" t="s">
        <v>419</v>
      </c>
      <c r="D36" s="449"/>
      <c r="E36" s="325"/>
      <c r="F36" s="326"/>
      <c r="G36" s="327" t="s">
        <v>274</v>
      </c>
      <c r="H36" s="328"/>
      <c r="I36" s="459" t="s">
        <v>428</v>
      </c>
      <c r="J36" s="460"/>
      <c r="K36" s="459" t="s">
        <v>426</v>
      </c>
      <c r="L36" s="581"/>
      <c r="M36" s="329"/>
      <c r="N36" s="329" t="s">
        <v>437</v>
      </c>
      <c r="O36" s="329"/>
      <c r="P36" s="329"/>
      <c r="Q36" s="330" t="s">
        <v>398</v>
      </c>
      <c r="R36" s="331">
        <f>SUM(R31:R35)</f>
        <v>49094</v>
      </c>
      <c r="S36" s="332">
        <f>SUM(S31:S35)</f>
        <v>15760.666666666666</v>
      </c>
      <c r="T36" s="284" t="str">
        <f t="shared" si="0"/>
        <v>GBP 15,760.67</v>
      </c>
      <c r="U36" s="285" t="str">
        <f t="shared" si="1"/>
        <v>USD 20,825.14</v>
      </c>
      <c r="V36" s="286" t="str">
        <f t="shared" si="2"/>
        <v>EUR 18,276.24</v>
      </c>
      <c r="X36" s="380">
        <f t="shared" si="3"/>
        <v>15760.666666666666</v>
      </c>
      <c r="Y36" s="380">
        <f t="shared" si="4"/>
        <v>20825.136250666666</v>
      </c>
      <c r="Z36" s="380">
        <f t="shared" si="5"/>
        <v>18276.242434</v>
      </c>
      <c r="AA36" s="181"/>
      <c r="AB36" s="181"/>
    </row>
    <row r="37" spans="3:28" ht="19.5" outlineLevel="2" thickBot="1">
      <c r="C37" s="300" t="str">
        <f>(RIGHT($E$13,4)&amp;TEXT((((Equip_Fees2/Weeks_In_Year)/Days_In_Week)/Hours_In_Day)+(((Expenses2/Contract_Weeks_In_Year)/Days_In_Week)/Hours_In_Day)+(HourlyRate2)," #,##0.00"))&amp;" Per Hour"</f>
        <v>USD 540.59 Per Hour</v>
      </c>
      <c r="D37" s="455" t="s">
        <v>414</v>
      </c>
      <c r="E37" s="456"/>
      <c r="F37" s="154"/>
      <c r="G37" s="155"/>
      <c r="H37" s="154"/>
      <c r="I37" s="453" t="str">
        <f>(RIGHT($E$13,4)&amp;TEXT((((Equip_Fees2/Weeks_In_Year)/Days_In_Week)/Hours_In_Day)," #,##0.00"))</f>
        <v>USD 50.30</v>
      </c>
      <c r="J37" s="454"/>
      <c r="K37" s="453" t="str">
        <f>(RIGHT($E$13,4)&amp;TEXT((((Expenses2/Contract_Weeks_In_Year)/Days_In_Week)/Hours_In_Day)," #,##0.00"))</f>
        <v>USD 75.98</v>
      </c>
      <c r="L37" s="580"/>
      <c r="N37" s="229"/>
      <c r="O37" s="479"/>
      <c r="P37" s="480"/>
      <c r="Q37" s="479"/>
      <c r="R37" s="480"/>
      <c r="S37" s="192"/>
      <c r="T37" s="208"/>
      <c r="U37" s="209"/>
      <c r="V37" s="210"/>
      <c r="X37" s="160"/>
      <c r="Y37" s="181"/>
      <c r="Z37" s="181"/>
      <c r="AA37" s="181"/>
      <c r="AB37" s="181"/>
    </row>
    <row r="38" spans="3:28" ht="18" customHeight="1" outlineLevel="2" thickBot="1">
      <c r="C38" s="301" t="str">
        <f>(RIGHT($E$13,4)&amp;TEXT(((Equip_Fees2/Weeks_In_Year)/Days_In_Week)+((Expenses2/Contract_Weeks_In_Year)/Days_In_Week)+(HourlyRate2*$K$13*Hours_In_Day)," #,##0.00"))&amp;" Per Diem"</f>
        <v>USD 5,389.82 Per Diem</v>
      </c>
      <c r="D38" s="455" t="s">
        <v>415</v>
      </c>
      <c r="E38" s="456"/>
      <c r="F38" s="154"/>
      <c r="G38" s="292">
        <f>Hours_In_Day</f>
        <v>8</v>
      </c>
      <c r="H38" s="154"/>
      <c r="I38" s="429" t="str">
        <f>(RIGHT($E$13,4)&amp;TEXT(((Equip_Fees2/Weeks_In_Year)/Days_In_Week)," #,##0.00"))</f>
        <v>USD 402.38</v>
      </c>
      <c r="J38" s="433"/>
      <c r="K38" s="429" t="str">
        <f>(RIGHT($E$13,4)&amp;TEXT(((Expenses2/Contract_Weeks_In_Year)/Days_In_Week)," #,##0.00"))</f>
        <v>USD 607.81</v>
      </c>
      <c r="L38" s="430"/>
      <c r="N38" s="504">
        <v>3</v>
      </c>
      <c r="O38" s="505"/>
      <c r="P38" s="478"/>
      <c r="Q38" s="214" t="s">
        <v>29</v>
      </c>
      <c r="R38" s="179">
        <v>15000</v>
      </c>
      <c r="S38" s="287">
        <f>R38/N38</f>
        <v>5000</v>
      </c>
      <c r="T38" s="281" t="str">
        <f>(RIGHT($E$12,4)&amp;TEXT($X38," #,##0.00"))</f>
        <v>GBP 5,000.00</v>
      </c>
      <c r="U38" s="282" t="str">
        <f>(RIGHT($E$13,4)&amp;TEXT($Y38," #,##0.00"))</f>
        <v>USD 5,000.00</v>
      </c>
      <c r="V38" s="283" t="str">
        <f>(RIGHT($E$14,4)&amp;TEXT((Z38)," #,##0.00"))</f>
        <v>EUR 5,798.06</v>
      </c>
      <c r="X38" s="379">
        <f>IF($D$12="British Pound",$S38,$S38*$K$12)</f>
        <v>5000</v>
      </c>
      <c r="Y38" s="379">
        <f>IF($D$12="British Pound",$X38*$K$13,$X38*$K$12)</f>
        <v>5000</v>
      </c>
      <c r="Z38" s="379">
        <f>IF($D$12="British Pound",$X38*$K$14,$X38*$K$14)</f>
        <v>5798.0549999999994</v>
      </c>
      <c r="AA38" s="180"/>
      <c r="AB38" s="180"/>
    </row>
    <row r="39" spans="3:28" ht="18" customHeight="1" outlineLevel="2" thickBot="1">
      <c r="C39" s="301" t="str">
        <f>(RIGHT($E$13,4)&amp;TEXT((Equip_Fees2/Weeks_In_Year)+(Expenses2/Contract_Weeks_In_Year)+(HourlyRate2*Hours_In_Day*Days_In_Week)," #,##0.00"))&amp;" Per Week"</f>
        <v>USD 21,623.71 Per Week</v>
      </c>
      <c r="D39" s="455" t="s">
        <v>413</v>
      </c>
      <c r="E39" s="456"/>
      <c r="F39" s="154"/>
      <c r="G39" s="290">
        <f>Days_In_Week</f>
        <v>5</v>
      </c>
      <c r="H39" s="154"/>
      <c r="I39" s="429" t="str">
        <f>(RIGHT($E$13,4)&amp;TEXT((Equip_Fees2/Weeks_In_Year)," #,##0.00"))</f>
        <v>USD 2,011.91</v>
      </c>
      <c r="J39" s="433"/>
      <c r="K39" s="429" t="str">
        <f>(RIGHT($E$13,4)&amp;TEXT((Expenses2/Contract_Weeks_In_Year)," #,##0.00"))</f>
        <v>USD 3,039.07</v>
      </c>
      <c r="L39" s="434"/>
      <c r="N39" s="502">
        <v>3</v>
      </c>
      <c r="O39" s="503"/>
      <c r="P39" s="478"/>
      <c r="Q39" s="214" t="s">
        <v>29</v>
      </c>
      <c r="R39" s="179">
        <v>15000</v>
      </c>
      <c r="S39" s="287">
        <f>R39/N39</f>
        <v>5000</v>
      </c>
      <c r="T39" s="281" t="str">
        <f>(RIGHT($E$12,4)&amp;TEXT($X39," #,##0.00"))</f>
        <v>GBP 5,000.00</v>
      </c>
      <c r="U39" s="282" t="str">
        <f>(RIGHT($E$13,4)&amp;TEXT($Y39," #,##0.00"))</f>
        <v>USD 5,000.00</v>
      </c>
      <c r="V39" s="283" t="str">
        <f>(RIGHT($E$14,4)&amp;TEXT((Z39)," #,##0.00"))</f>
        <v>EUR 5,798.06</v>
      </c>
      <c r="X39" s="379">
        <f>IF($D$12="British Pound",$S39,$S39*$K$12)</f>
        <v>5000</v>
      </c>
      <c r="Y39" s="379">
        <f>IF($D$12="British Pound",$X39*$K$13,$X39*$K$12)</f>
        <v>5000</v>
      </c>
      <c r="Z39" s="379">
        <f>IF($D$12="British Pound",$X39*$K$14,$X39*$K$14)</f>
        <v>5798.0549999999994</v>
      </c>
      <c r="AA39" s="180"/>
      <c r="AB39" s="180"/>
    </row>
    <row r="40" spans="3:28" ht="18" customHeight="1" outlineLevel="2" thickBot="1">
      <c r="C40" s="301" t="str">
        <f>(RIGHT($E$13,4)&amp;TEXT((Equip_Fees2/Months_In_Year)+(Expenses2/Months_In_Year)+(HourlyRate2*Hours_In_Day*Days_In_Week*(Contract_Weeks_In_Year/Months_In_Year))," #,##0.00"))&amp;" Per Month"</f>
        <v>USD 85,531.16 Per Month</v>
      </c>
      <c r="D40" s="455" t="s">
        <v>416</v>
      </c>
      <c r="E40" s="456"/>
      <c r="F40" s="154"/>
      <c r="G40" s="292" t="str">
        <f>TEXT((Contract_Weeks_In_Year/Months_In_Year)," #,##0.00")&amp;" / "&amp;TEXT((Weeks_In_Year/Months_In_Year)," #,##0.00")&amp;" Weeks"</f>
        <v xml:space="preserve"> 3.92 /  4.33 Weeks</v>
      </c>
      <c r="H40" s="154"/>
      <c r="I40" s="429" t="str">
        <f>(RIGHT($E$13,4)&amp;TEXT((Equip_Fees2/Months_In_Year)," #,##0.00"))</f>
        <v>USD 8,718.29</v>
      </c>
      <c r="J40" s="433"/>
      <c r="K40" s="429" t="str">
        <f>(RIGHT($E$13,4)&amp;TEXT((Expenses2/Months_In_Year)," #,##0.00"))</f>
        <v>USD 11,903.04</v>
      </c>
      <c r="L40" s="430"/>
      <c r="N40" s="476">
        <v>3</v>
      </c>
      <c r="O40" s="477"/>
      <c r="P40" s="478"/>
      <c r="Q40" s="214" t="s">
        <v>29</v>
      </c>
      <c r="R40" s="179">
        <v>7500</v>
      </c>
      <c r="S40" s="287">
        <f>R40/N40</f>
        <v>2500</v>
      </c>
      <c r="T40" s="281" t="str">
        <f>(RIGHT($E$12,4)&amp;TEXT($X40," #,##0.00"))</f>
        <v>GBP 2,500.00</v>
      </c>
      <c r="U40" s="282" t="str">
        <f>(RIGHT($E$13,4)&amp;TEXT($Y40," #,##0.00"))</f>
        <v>USD 2,500.00</v>
      </c>
      <c r="V40" s="283" t="str">
        <f>(RIGHT($E$14,4)&amp;TEXT((Z40)," #,##0.00"))</f>
        <v>EUR 2,899.03</v>
      </c>
      <c r="X40" s="379">
        <f>IF($D$12="British Pound",$S40,$S40*$K$12)</f>
        <v>2500</v>
      </c>
      <c r="Y40" s="379">
        <f>IF($D$12="British Pound",$X40*$K$13,$X40*$K$12)</f>
        <v>2500</v>
      </c>
      <c r="Z40" s="379">
        <f>IF($D$12="British Pound",$X40*$K$14,$X40*$K$14)</f>
        <v>2899.0274999999997</v>
      </c>
      <c r="AA40" s="180"/>
      <c r="AB40" s="180"/>
    </row>
    <row r="41" spans="3:28" ht="18" customHeight="1" outlineLevel="2" thickBot="1">
      <c r="C41" s="301" t="str">
        <f>(RIGHT($E$13,4)&amp;TEXT((Equip_Fees2)+(Expenses2)+(HourlyRate2*Hours_In_Day*Days_In_Week*(Contract_Weeks_In_Year))," #,##0"))&amp;" Per Year"</f>
        <v>USD 1,026,374 Per Year</v>
      </c>
      <c r="D41" s="455" t="s">
        <v>417</v>
      </c>
      <c r="E41" s="456"/>
      <c r="F41" s="154"/>
      <c r="G41" s="293">
        <f>Months_In_Year</f>
        <v>12</v>
      </c>
      <c r="H41" s="154"/>
      <c r="I41" s="429" t="str">
        <f>(RIGHT($E$13,4)&amp;TEXT((Equip_Fees2)," #,##0.00"))</f>
        <v>USD 104,619.42</v>
      </c>
      <c r="J41" s="433"/>
      <c r="K41" s="429" t="str">
        <f>(RIGHT($E$13,4)&amp;TEXT((Expenses2)," #,##0.00"))</f>
        <v>USD 142,836.42</v>
      </c>
      <c r="L41" s="430"/>
      <c r="N41" s="481">
        <v>3</v>
      </c>
      <c r="O41" s="482"/>
      <c r="P41" s="478"/>
      <c r="Q41" s="214" t="s">
        <v>29</v>
      </c>
      <c r="R41" s="250">
        <f>1749+1000</f>
        <v>2749</v>
      </c>
      <c r="S41" s="287">
        <f>R41/N41</f>
        <v>916.33333333333337</v>
      </c>
      <c r="T41" s="281" t="str">
        <f>(RIGHT($E$12,4)&amp;TEXT($X41," #,##0.00"))</f>
        <v>GBP 916.33</v>
      </c>
      <c r="U41" s="282" t="str">
        <f>(RIGHT($E$13,4)&amp;TEXT($Y41," #,##0.00"))</f>
        <v>USD 916.33</v>
      </c>
      <c r="V41" s="283" t="str">
        <f>(RIGHT($E$14,4)&amp;TEXT((Z41)," #,##0.00"))</f>
        <v>EUR 1,062.59</v>
      </c>
      <c r="X41" s="379">
        <f>IF($D$12="British Pound",$S41,$S41*$K$12)</f>
        <v>916.33333333333337</v>
      </c>
      <c r="Y41" s="379">
        <f>IF($D$12="British Pound",$X41*$K$13,$X41*$K$12)</f>
        <v>916.33333333333337</v>
      </c>
      <c r="Z41" s="379">
        <f>IF($D$12="British Pound",$X41*$K$14,$X41*$K$14)</f>
        <v>1062.5902129999999</v>
      </c>
      <c r="AA41" s="180"/>
      <c r="AB41" s="180"/>
    </row>
    <row r="42" spans="3:28" ht="18" customHeight="1" outlineLevel="2" thickBot="1">
      <c r="C42" s="302" t="str">
        <f>(RIGHT($E$13,4)&amp;TEXT((Equip_Fees2*Contract_Duration)+(Expenses2*Contract_Duration)+(HourlyRate2*Hours_In_Day*Days_In_Week*(Contract_Weeks_In_Year)*Contract_Duration)," #,##0"))&amp;" Per Project"</f>
        <v>USD 1,026,374 Per Project</v>
      </c>
      <c r="D42" s="455" t="s">
        <v>418</v>
      </c>
      <c r="E42" s="456"/>
      <c r="G42" s="294">
        <f>Contract_Duration</f>
        <v>1</v>
      </c>
      <c r="H42" s="156"/>
      <c r="I42" s="431" t="str">
        <f>(RIGHT($E$13,4)&amp;TEXT((Equip_Fees2*Contract_Duration)," #,##0.00"))</f>
        <v>USD 104,619.42</v>
      </c>
      <c r="J42" s="447"/>
      <c r="K42" s="431" t="str">
        <f>(RIGHT($E$13,4)&amp;TEXT((Expenses2*Contract_Duration)," #,##0.00"))</f>
        <v>USD 142,836.42</v>
      </c>
      <c r="L42" s="432"/>
      <c r="N42" s="240"/>
      <c r="O42" s="240"/>
      <c r="P42" s="241"/>
      <c r="Q42" s="242"/>
      <c r="R42" s="203"/>
      <c r="S42" s="370" t="s">
        <v>403</v>
      </c>
      <c r="T42" s="372" t="str">
        <f>"ANNUAL "&amp;$I$12</f>
        <v>ANNUAL GBP £</v>
      </c>
      <c r="U42" s="373" t="str">
        <f>"ANNUAL "&amp;$I$13</f>
        <v>ANNUAL USD $</v>
      </c>
      <c r="V42" s="374" t="str">
        <f>"ANNUAL "&amp;$I$14</f>
        <v>ANNUAL EUR €</v>
      </c>
      <c r="X42" s="180"/>
      <c r="Y42" s="180"/>
      <c r="Z42" s="180"/>
      <c r="AA42" s="180"/>
      <c r="AB42" s="180"/>
    </row>
    <row r="43" spans="3:28" s="161" customFormat="1" ht="18" customHeight="1" thickBot="1">
      <c r="C43" s="582" t="str">
        <f>"CONSULTANCY FEE'S IN "&amp;UPPER($D$14)&amp;"'S"</f>
        <v>CONSULTANCY FEE'S IN EURO'S</v>
      </c>
      <c r="D43" s="583"/>
      <c r="E43" s="381"/>
      <c r="F43" s="382"/>
      <c r="G43" s="383" t="s">
        <v>274</v>
      </c>
      <c r="H43" s="384"/>
      <c r="I43" s="584" t="s">
        <v>412</v>
      </c>
      <c r="J43" s="585"/>
      <c r="K43" s="584" t="s">
        <v>393</v>
      </c>
      <c r="L43" s="586"/>
      <c r="M43" s="385"/>
      <c r="N43" s="399" t="s">
        <v>396</v>
      </c>
      <c r="O43" s="399"/>
      <c r="P43" s="399"/>
      <c r="Q43" s="400" t="s">
        <v>398</v>
      </c>
      <c r="R43" s="401">
        <f>SUM(R31:R35)</f>
        <v>49094</v>
      </c>
      <c r="S43" s="386">
        <f>SUM(S38:S41)</f>
        <v>13416.333333333334</v>
      </c>
      <c r="T43" s="386" t="str">
        <f>(RIGHT($E$12,4)&amp;TEXT($X43," #,##0.00"))</f>
        <v>GBP 13,416.33</v>
      </c>
      <c r="U43" s="387" t="str">
        <f>(RIGHT($E$13,4)&amp;TEXT($Y43," #,##0.00"))</f>
        <v>USD 17,727.48</v>
      </c>
      <c r="V43" s="388" t="str">
        <f>(RIGHT($E$14,4)&amp;TEXT((Z43)," #,##0.00"))</f>
        <v>EUR 15,557.73</v>
      </c>
      <c r="X43" s="380">
        <f>IF($D$12="British Pound",$S43,$S43*$K$12)</f>
        <v>13416.333333333334</v>
      </c>
      <c r="Y43" s="380">
        <f>IF($D$13="British Pound",$S43,$S43*$K$13)</f>
        <v>17727.484221333336</v>
      </c>
      <c r="Z43" s="380">
        <f>IF($D$14="British Pound",$S43,$S43*$K$14)</f>
        <v>15557.727713</v>
      </c>
      <c r="AA43" s="181"/>
      <c r="AB43" s="181"/>
    </row>
    <row r="44" spans="3:28" ht="18" customHeight="1" outlineLevel="1">
      <c r="C44" s="338" t="s">
        <v>282</v>
      </c>
      <c r="D44" s="166" t="s">
        <v>276</v>
      </c>
      <c r="E44" s="167"/>
      <c r="F44" s="299" t="str">
        <f>(RIGHT($E$14,4)&amp;TEXT(HourlyRate3," #,##0.00"))</f>
        <v>EUR 363.61</v>
      </c>
      <c r="G44" s="288">
        <f>Hours_In_Day</f>
        <v>8</v>
      </c>
      <c r="H44" s="289"/>
      <c r="I44" s="453" t="str">
        <f>(RIGHT($E$14,4)&amp;TEXT(HourlyRate3*Hours_In_Day," #,##0.00"))</f>
        <v>EUR 2,908.86</v>
      </c>
      <c r="J44" s="557"/>
      <c r="K44" s="453" t="str">
        <f>(RIGHT($E$14,4)&amp;TEXT(HourlyRate3*Hours_In_Day," #,##0.00"))</f>
        <v>EUR 2,908.86</v>
      </c>
      <c r="L44" s="468"/>
      <c r="M44" s="229"/>
      <c r="N44" s="562" t="s">
        <v>443</v>
      </c>
      <c r="O44" s="563"/>
      <c r="P44" s="564"/>
      <c r="Q44" s="565"/>
      <c r="R44" s="566"/>
      <c r="S44" s="397"/>
      <c r="T44" s="357"/>
      <c r="U44" s="357"/>
      <c r="V44" s="358"/>
      <c r="X44" s="180"/>
      <c r="Y44" s="180"/>
      <c r="Z44" s="180"/>
      <c r="AA44" s="180"/>
      <c r="AB44" s="180"/>
    </row>
    <row r="45" spans="3:28" ht="18" customHeight="1" outlineLevel="1">
      <c r="C45" s="457" t="str">
        <f>D14</f>
        <v>Euro</v>
      </c>
      <c r="D45" s="152" t="s">
        <v>277</v>
      </c>
      <c r="E45" s="153"/>
      <c r="F45" s="154"/>
      <c r="G45" s="290">
        <f>Days_In_Week</f>
        <v>5</v>
      </c>
      <c r="H45" s="291"/>
      <c r="I45" s="429" t="str">
        <f>(RIGHT($E$14,4)&amp;TEXT(HourlyRate3*Hours_In_Day*Days_In_Week," #,##0.00"))</f>
        <v>EUR 14,544.31</v>
      </c>
      <c r="J45" s="560"/>
      <c r="K45" s="429" t="str">
        <f>(RIGHT($E$14,4)&amp;TEXT(HourlyRate3*Hours_In_Day*Days_In_Week," #,##0.00"))</f>
        <v>EUR 14,544.31</v>
      </c>
      <c r="L45" s="430"/>
      <c r="M45" s="229"/>
      <c r="N45" s="567"/>
      <c r="O45" s="568"/>
      <c r="P45" s="568"/>
      <c r="Q45" s="568"/>
      <c r="R45" s="569"/>
      <c r="S45" s="398"/>
      <c r="T45" s="359"/>
      <c r="U45" s="359"/>
      <c r="V45" s="360"/>
      <c r="AB45" s="180"/>
    </row>
    <row r="46" spans="3:28" ht="18" customHeight="1" outlineLevel="1">
      <c r="C46" s="458"/>
      <c r="D46" s="152" t="s">
        <v>278</v>
      </c>
      <c r="E46" s="153"/>
      <c r="F46" s="154"/>
      <c r="G46" s="292" t="str">
        <f>TEXT((Contract_Weeks_In_Year/Months_In_Year)," #,##0.00")&amp;"/"&amp;TEXT((Weeks_In_Year/Months_In_Year)," #,##0.00")&amp;" Weeks"</f>
        <v xml:space="preserve"> 3.92/ 4.33 Weeks</v>
      </c>
      <c r="H46" s="291"/>
      <c r="I46" s="429" t="str">
        <f>(RIGHT($E$14,4)&amp;TEXT(HourlyRate3*Hours_In_Day*Days_In_Week*(Contract_Weeks_In_Year/Months_In_Year)," #,##0.00"))</f>
        <v>EUR 56,965.19</v>
      </c>
      <c r="J46" s="560"/>
      <c r="K46" s="429" t="str">
        <f>(RIGHT($E$14,4)&amp;TEXT(HourlyRate3*Hours_In_Day*Days_In_Week*(Weeks_In_Year/Months_In_Year)," #,##0.00"))</f>
        <v>EUR 63,025.32</v>
      </c>
      <c r="L46" s="430"/>
      <c r="M46" s="229"/>
      <c r="N46" s="567"/>
      <c r="O46" s="568"/>
      <c r="P46" s="568"/>
      <c r="Q46" s="568"/>
      <c r="R46" s="569"/>
      <c r="S46" s="398"/>
      <c r="T46" s="359"/>
      <c r="U46" s="359"/>
      <c r="V46" s="360"/>
      <c r="X46" s="180"/>
      <c r="Y46" s="180"/>
      <c r="Z46" s="180"/>
      <c r="AA46" s="180"/>
      <c r="AB46" s="180"/>
    </row>
    <row r="47" spans="3:28" ht="18" customHeight="1" outlineLevel="1">
      <c r="C47" s="458"/>
      <c r="D47" s="152" t="s">
        <v>279</v>
      </c>
      <c r="E47" s="153"/>
      <c r="F47" s="154"/>
      <c r="G47" s="293" t="str">
        <f>TEXT((Contract_Weeks_In_Year)," #,##0.0")&amp;" / "&amp;TEXT((Weeks_In_Year)," #,##0.0")&amp;" Weeks"</f>
        <v xml:space="preserve"> 47.0 /  52.0 Weeks</v>
      </c>
      <c r="H47" s="291"/>
      <c r="I47" s="429" t="str">
        <f>(RIGHT($E$14,4)&amp;TEXT(HourlyRate3*Hours_In_Day*Days_In_Week*Contract_Weeks_In_Year," #,##0.00"))</f>
        <v>EUR 683,582.34</v>
      </c>
      <c r="J47" s="433"/>
      <c r="K47" s="429" t="str">
        <f>(RIGHT($E$14,4)&amp;TEXT(HourlyRate3*Hours_In_Day*Days_In_Week*(Weeks_In_Year)," #,##0.00"))</f>
        <v>EUR 756,303.86</v>
      </c>
      <c r="L47" s="430"/>
      <c r="M47" s="229"/>
      <c r="N47" s="567"/>
      <c r="O47" s="568"/>
      <c r="P47" s="568"/>
      <c r="Q47" s="568"/>
      <c r="R47" s="569"/>
      <c r="S47" s="398"/>
      <c r="T47" s="359"/>
      <c r="U47" s="359"/>
      <c r="V47" s="360"/>
      <c r="X47" s="181" t="s">
        <v>395</v>
      </c>
      <c r="Y47" s="180"/>
      <c r="Z47" s="180"/>
      <c r="AA47" s="180"/>
      <c r="AB47" s="180"/>
    </row>
    <row r="48" spans="3:28" ht="18" customHeight="1" outlineLevel="1" thickBot="1">
      <c r="C48" s="458"/>
      <c r="D48" s="163" t="s">
        <v>280</v>
      </c>
      <c r="E48" s="164"/>
      <c r="F48" s="165"/>
      <c r="G48" s="294">
        <f>Contract_Duration</f>
        <v>1</v>
      </c>
      <c r="H48" s="295"/>
      <c r="I48" s="431" t="str">
        <f>(RIGHT($E$14,4)&amp;TEXT(HourlyRate3*Hours_In_Day*Days_In_Week*Contract_Weeks_In_Year*Contract_Duration," #,##0.00"))</f>
        <v>EUR 683,582.34</v>
      </c>
      <c r="J48" s="447"/>
      <c r="K48" s="429" t="str">
        <f>(RIGHT($E$14,4)&amp;TEXT(HourlyRate3*Hours_In_Day*Days_In_Week*(Weeks_In_Year)*Contract_Duration," #,##0.00"))</f>
        <v>EUR 756,303.86</v>
      </c>
      <c r="L48" s="430"/>
      <c r="M48" s="229"/>
      <c r="N48" s="570"/>
      <c r="O48" s="571"/>
      <c r="P48" s="571"/>
      <c r="Q48" s="571"/>
      <c r="R48" s="572"/>
      <c r="S48" s="371" t="s">
        <v>403</v>
      </c>
      <c r="T48" s="375" t="s">
        <v>403</v>
      </c>
      <c r="U48" s="376" t="str">
        <f>"ANNUAL "&amp;$I$13</f>
        <v>ANNUAL USD $</v>
      </c>
      <c r="V48" s="377" t="str">
        <f>"ANNUAL "&amp;$I$14</f>
        <v>ANNUAL EUR €</v>
      </c>
      <c r="X48" s="378" t="str">
        <f>"ANNUAL "&amp;$I$12</f>
        <v>ANNUAL GBP £</v>
      </c>
      <c r="Y48" s="378" t="str">
        <f>"ANNUAL "&amp;$I$13</f>
        <v>ANNUAL USD $</v>
      </c>
      <c r="Z48" s="378" t="str">
        <f>"ANNUAL "&amp;$I$14</f>
        <v>ANNUAL EUR €</v>
      </c>
      <c r="AA48" s="180"/>
      <c r="AB48" s="180"/>
    </row>
    <row r="49" spans="1:28" s="161" customFormat="1" ht="16.350000000000001" customHeight="1" outlineLevel="1" thickBot="1">
      <c r="A49" s="178"/>
      <c r="B49" s="178"/>
      <c r="C49" s="575" t="s">
        <v>419</v>
      </c>
      <c r="D49" s="576"/>
      <c r="E49" s="361"/>
      <c r="F49" s="362"/>
      <c r="G49" s="363" t="s">
        <v>274</v>
      </c>
      <c r="H49" s="364"/>
      <c r="I49" s="577" t="s">
        <v>428</v>
      </c>
      <c r="J49" s="578"/>
      <c r="K49" s="577" t="s">
        <v>426</v>
      </c>
      <c r="L49" s="579"/>
      <c r="M49" s="365"/>
      <c r="N49" s="402"/>
      <c r="O49" s="402"/>
      <c r="P49" s="402"/>
      <c r="Q49" s="402"/>
      <c r="R49" s="403" t="s">
        <v>400</v>
      </c>
      <c r="S49" s="366">
        <f>S29+S36+S43</f>
        <v>79177</v>
      </c>
      <c r="T49" s="367" t="str">
        <f>(RIGHT($E$12,4)&amp;TEXT(Equip_Fees1," #,##0.00"))</f>
        <v>GBP 79,177.00</v>
      </c>
      <c r="U49" s="368" t="str">
        <f>(RIGHT($E$13,4)&amp;TEXT(Equip_Fees2," #,##0.00"))</f>
        <v>USD 104,619.42</v>
      </c>
      <c r="V49" s="369" t="str">
        <f>(RIGHT($E$14,4)&amp;TEXT((Equip_Fees3)," #,##0.00"))</f>
        <v>EUR 91,814.52</v>
      </c>
      <c r="X49" s="181">
        <f>IF($D$12="British Pound",$S49,$S49*$K$12)</f>
        <v>79177</v>
      </c>
      <c r="Y49" s="181">
        <f>IF($D$13="British Pound",$S$49,$S$49*$K$13)</f>
        <v>104619.420472</v>
      </c>
      <c r="Z49" s="181">
        <f>IF($D$14="British Pound",$S$49,$S$49*$K$14)</f>
        <v>91814.520147000003</v>
      </c>
      <c r="AA49" s="193"/>
      <c r="AB49" s="193"/>
    </row>
    <row r="50" spans="1:28" ht="18.75" outlineLevel="2">
      <c r="C50" s="300" t="str">
        <f>(RIGHT($E$14,4)&amp;TEXT((((Equip_Fees3/Weeks_In_Year)/Days_In_Week)/Hours_In_Day)+(((Expenses3/Contract_Weeks_In_Year)/Days_In_Week)/Hours_In_Day)+(HourlyRate3)," #,##0.00"))&amp;" Per Hour"</f>
        <v>EUR 474.43 Per Hour</v>
      </c>
      <c r="D50" s="455" t="s">
        <v>414</v>
      </c>
      <c r="E50" s="456"/>
      <c r="F50" s="154"/>
      <c r="G50" s="155"/>
      <c r="H50" s="154"/>
      <c r="I50" s="453" t="str">
        <f>(RIGHT($E$14,4)&amp;TEXT((((Equip_Fees3/Weeks_In_Year)/Days_In_Week)/Hours_In_Day)," #,##0.00"))</f>
        <v>EUR 44.14</v>
      </c>
      <c r="J50" s="454"/>
      <c r="K50" s="453" t="str">
        <f>(RIGHT($E$14,4)&amp;TEXT((((Expenses3/Contract_Weeks_In_Year)/Days_In_Week)/Hours_In_Day)," #,##0.00"))</f>
        <v>EUR 66.68</v>
      </c>
      <c r="L50" s="580"/>
      <c r="N50" s="229"/>
      <c r="O50" s="479"/>
      <c r="P50" s="480"/>
      <c r="Q50" s="349"/>
      <c r="R50" s="349"/>
      <c r="S50" s="349"/>
      <c r="T50" s="349"/>
      <c r="U50" s="349"/>
      <c r="V50" s="354"/>
      <c r="X50" s="160"/>
      <c r="Y50" s="181"/>
      <c r="Z50" s="181"/>
      <c r="AA50" s="181"/>
      <c r="AB50" s="181"/>
    </row>
    <row r="51" spans="1:28" ht="18" customHeight="1" outlineLevel="2">
      <c r="C51" s="301" t="str">
        <f>(RIGHT($E$14,4)&amp;TEXT(((Equip_Fees3/Weeks_In_Year)/Days_In_Week)+((Expenses3/Contract_Weeks_In_Year)/Days_In_Week)+(HourlyRate3*Hours_In_Day)," #,##0.00"))&amp;" Per Diem"</f>
        <v>EUR 3,795.41 Per Diem</v>
      </c>
      <c r="D51" s="455" t="s">
        <v>415</v>
      </c>
      <c r="E51" s="456"/>
      <c r="F51" s="154"/>
      <c r="G51" s="292">
        <f>Hours_In_Day</f>
        <v>8</v>
      </c>
      <c r="H51" s="154"/>
      <c r="I51" s="429" t="str">
        <f>(RIGHT($E$14,4)&amp;TEXT(((Equip_Fees3/Weeks_In_Year)/Days_In_Week)," #,##0.00"))</f>
        <v>EUR 353.13</v>
      </c>
      <c r="J51" s="433"/>
      <c r="K51" s="429" t="str">
        <f>(RIGHT($E$14,4)&amp;TEXT(((Expenses3/Contract_Weeks_In_Year)/Days_In_Week)," #,##0.00"))</f>
        <v>EUR 533.42</v>
      </c>
      <c r="L51" s="430"/>
      <c r="N51" s="348"/>
      <c r="O51" s="348"/>
      <c r="P51" s="348"/>
      <c r="Q51" s="214"/>
      <c r="R51" s="214"/>
      <c r="S51" s="214"/>
      <c r="T51" s="214"/>
      <c r="U51" s="214"/>
      <c r="V51" s="355"/>
      <c r="X51" s="180">
        <f>X29+X36+X43</f>
        <v>79177</v>
      </c>
      <c r="Y51" s="180">
        <f>Y29+Y36+Y43</f>
        <v>104619.420472</v>
      </c>
      <c r="Z51" s="180">
        <f>Z29+Z36+Z43</f>
        <v>91814.520147000003</v>
      </c>
      <c r="AA51" s="180" t="s">
        <v>446</v>
      </c>
      <c r="AB51" s="180"/>
    </row>
    <row r="52" spans="1:28" ht="18" customHeight="1" outlineLevel="2">
      <c r="C52" s="301" t="str">
        <f>(RIGHT($E$14,4)&amp;TEXT((Equip_Fees3/Weeks_In_Year)+(Expenses3/Contract_Weeks_In_Year)+(HourlyRate3*Hours_In_Day*Days_In_Week)," #,##0.00"))&amp;" Per Week"</f>
        <v>EUR 18,977.07 Per Week</v>
      </c>
      <c r="D52" s="455" t="s">
        <v>413</v>
      </c>
      <c r="E52" s="456"/>
      <c r="F52" s="154"/>
      <c r="G52" s="290">
        <f>Days_In_Week</f>
        <v>5</v>
      </c>
      <c r="H52" s="154"/>
      <c r="I52" s="429" t="str">
        <f>(RIGHT($E$14,4)&amp;TEXT((Equip_Fees3/Weeks_In_Year)," #,##0.00"))</f>
        <v>EUR 1,765.66</v>
      </c>
      <c r="J52" s="433"/>
      <c r="K52" s="429" t="str">
        <f>(RIGHT($E$14,4)&amp;TEXT((Expenses3/Contract_Weeks_In_Year)," #,##0.00"))</f>
        <v>EUR 2,667.11</v>
      </c>
      <c r="L52" s="434"/>
      <c r="N52" s="348"/>
      <c r="O52" s="348"/>
      <c r="P52" s="348"/>
      <c r="Q52" s="214"/>
      <c r="R52" s="214"/>
      <c r="S52" s="214"/>
      <c r="T52" s="214"/>
      <c r="U52" s="214"/>
      <c r="V52" s="355"/>
      <c r="X52" s="180"/>
      <c r="Y52" s="180"/>
      <c r="Z52" s="180"/>
      <c r="AA52" s="180"/>
      <c r="AB52" s="180"/>
    </row>
    <row r="53" spans="1:28" ht="18" customHeight="1" outlineLevel="2">
      <c r="C53" s="301" t="str">
        <f>(RIGHT($E$14,4)&amp;TEXT((Equip_Fees3/Months_In_Year)+(Expenses3/Months_In_Year)+(HourlyRate3*Hours_In_Day*Days_In_Week*(Contract_Weeks_In_Year/Months_In_Year))," #,##0.00"))&amp;" Per Month"</f>
        <v>EUR 75,062.57 Per Month</v>
      </c>
      <c r="D53" s="455" t="s">
        <v>416</v>
      </c>
      <c r="E53" s="456"/>
      <c r="F53" s="154"/>
      <c r="G53" s="292" t="str">
        <f>TEXT((Contract_Weeks_In_Year/Months_In_Year)," #,##0.00")&amp;" / "&amp;TEXT((Weeks_In_Year/Months_In_Year)," #,##0.00")&amp;" Weeks"</f>
        <v xml:space="preserve"> 3.92 /  4.33 Weeks</v>
      </c>
      <c r="H53" s="154"/>
      <c r="I53" s="429" t="str">
        <f>(RIGHT($E$14,4)&amp;TEXT((Equip_Fees3/Months_In_Year)," #,##0.00"))</f>
        <v>EUR 7,651.21</v>
      </c>
      <c r="J53" s="433"/>
      <c r="K53" s="429" t="str">
        <f>(RIGHT($E$14,4)&amp;TEXT((Expenses3/Months_In_Year)," #,##0.00"))</f>
        <v>EUR 10,446.16</v>
      </c>
      <c r="L53" s="430"/>
      <c r="N53" s="348"/>
      <c r="O53" s="348"/>
      <c r="P53" s="348"/>
      <c r="Q53" s="214"/>
      <c r="R53" s="214"/>
      <c r="S53" s="214"/>
      <c r="T53" s="214"/>
      <c r="U53" s="214"/>
      <c r="V53" s="355"/>
      <c r="X53" s="180"/>
      <c r="Y53" s="180"/>
      <c r="Z53" s="180"/>
      <c r="AA53" s="180"/>
      <c r="AB53" s="180"/>
    </row>
    <row r="54" spans="1:28" ht="18" customHeight="1" outlineLevel="2">
      <c r="C54" s="301" t="str">
        <f>(RIGHT($E$14,4)&amp;TEXT((Equip_Fees3)+(Expenses3)+(HourlyRate3*Hours_In_Day*Days_In_Week*Contract_Weeks_In_Year)," #,##0"))&amp;" Per Year"</f>
        <v>EUR 900,751 Per Year</v>
      </c>
      <c r="D54" s="455" t="s">
        <v>417</v>
      </c>
      <c r="E54" s="456"/>
      <c r="F54" s="154"/>
      <c r="G54" s="293">
        <f>Months_In_Year</f>
        <v>12</v>
      </c>
      <c r="H54" s="154"/>
      <c r="I54" s="429" t="str">
        <f>(RIGHT($E$14,4)&amp;TEXT((Equip_Fees3)," #,##0.00"))</f>
        <v>EUR 91,814.52</v>
      </c>
      <c r="J54" s="433"/>
      <c r="K54" s="429" t="str">
        <f>(RIGHT($E$14,4)&amp;TEXT((Expenses3)," #,##0.00"))</f>
        <v>EUR 125,353.95</v>
      </c>
      <c r="L54" s="430"/>
      <c r="N54" s="348"/>
      <c r="O54" s="348"/>
      <c r="P54" s="348"/>
      <c r="Q54" s="214"/>
      <c r="R54" s="214"/>
      <c r="S54" s="214"/>
      <c r="T54" s="214"/>
      <c r="U54" s="214"/>
      <c r="V54" s="355"/>
      <c r="X54" s="180"/>
      <c r="Y54" s="180"/>
      <c r="Z54" s="180"/>
      <c r="AA54" s="180"/>
      <c r="AB54" s="180"/>
    </row>
    <row r="55" spans="1:28" ht="18" customHeight="1" outlineLevel="2" thickBot="1">
      <c r="C55" s="302" t="str">
        <f>(RIGHT($E$14,4)&amp;TEXT((Equip_Fees3*Contract_Duration)+(Expenses3*Contract_Duration)+(HourlyRate3*Hours_In_Day*Days_In_Week*Contract_Weeks_In_Year*Contract_Duration)," #,##0"))&amp;" Per Project"</f>
        <v>EUR 900,751 Per Project</v>
      </c>
      <c r="D55" s="573" t="s">
        <v>418</v>
      </c>
      <c r="E55" s="574"/>
      <c r="F55" s="346"/>
      <c r="G55" s="347">
        <f>Contract_Duration</f>
        <v>1</v>
      </c>
      <c r="H55" s="156"/>
      <c r="I55" s="431" t="str">
        <f>(RIGHT($E$14,4)&amp;TEXT((Equip_Fees3*Contract_Duration)," #,##0.00"))</f>
        <v>EUR 91,814.52</v>
      </c>
      <c r="J55" s="447"/>
      <c r="K55" s="431" t="str">
        <f>(RIGHT($E$14,4)&amp;TEXT((Expenses3*Contract_Duration)," #,##0.00"))</f>
        <v>EUR 125,353.95</v>
      </c>
      <c r="L55" s="432"/>
      <c r="M55" s="351"/>
      <c r="N55" s="352"/>
      <c r="O55" s="352"/>
      <c r="P55" s="353"/>
      <c r="Q55" s="350"/>
      <c r="R55" s="350"/>
      <c r="S55" s="350"/>
      <c r="T55" s="350"/>
      <c r="U55" s="350"/>
      <c r="V55" s="356"/>
      <c r="X55" s="180"/>
      <c r="Y55" s="180"/>
      <c r="Z55" s="180"/>
      <c r="AA55" s="180"/>
      <c r="AB55" s="180"/>
    </row>
    <row r="56" spans="1:28" ht="16.149999999999999" customHeight="1">
      <c r="C56" s="340"/>
      <c r="D56" s="341"/>
      <c r="E56" s="342"/>
      <c r="G56" s="343"/>
      <c r="H56" s="339"/>
      <c r="I56" s="344"/>
      <c r="J56"/>
      <c r="K56" s="344"/>
      <c r="L56"/>
      <c r="M56" s="229"/>
      <c r="N56" s="229"/>
      <c r="O56" s="339"/>
      <c r="P56" s="229"/>
      <c r="Q56" s="339"/>
      <c r="R56" s="229"/>
      <c r="S56" s="339"/>
      <c r="T56" s="339"/>
      <c r="U56" s="229"/>
      <c r="V56" s="345"/>
      <c r="Y56" s="160"/>
      <c r="Z56" s="160"/>
      <c r="AA56" s="160"/>
      <c r="AB56" s="160"/>
    </row>
    <row r="57" spans="1:28" ht="16.149999999999999" customHeight="1">
      <c r="C57" s="340"/>
      <c r="D57" s="341"/>
      <c r="E57" s="342"/>
      <c r="G57" s="343"/>
      <c r="H57" s="339"/>
      <c r="I57" s="344"/>
      <c r="J57"/>
      <c r="K57" s="344"/>
      <c r="L57"/>
      <c r="M57" s="229"/>
      <c r="N57" s="229"/>
      <c r="O57" s="339"/>
      <c r="P57" s="229"/>
      <c r="Q57" s="339"/>
      <c r="R57" s="229"/>
      <c r="S57" s="339"/>
      <c r="T57" s="339"/>
      <c r="U57" s="229"/>
      <c r="V57" s="345"/>
      <c r="Y57" s="160"/>
      <c r="Z57" s="160"/>
      <c r="AA57" s="160"/>
      <c r="AB57" s="160"/>
    </row>
    <row r="58" spans="1:28" s="139" customFormat="1" ht="7.35" customHeight="1">
      <c r="P58" s="48"/>
      <c r="Q58" s="48"/>
      <c r="R58" s="48"/>
      <c r="Y58" s="182"/>
      <c r="Z58" s="182"/>
      <c r="AA58" s="199"/>
      <c r="AB58" s="199"/>
    </row>
    <row r="59" spans="1:28" ht="18" customHeight="1">
      <c r="Y59" s="150"/>
      <c r="Z59" s="150"/>
      <c r="AA59" s="150"/>
      <c r="AB59" s="150"/>
    </row>
    <row r="60" spans="1:28" ht="18" customHeight="1">
      <c r="Y60" s="160"/>
      <c r="Z60" s="160"/>
      <c r="AA60" s="160"/>
      <c r="AB60" s="160"/>
    </row>
    <row r="61" spans="1:28" ht="18" customHeight="1">
      <c r="G61" s="186"/>
      <c r="I61" s="186"/>
      <c r="J61" s="186"/>
      <c r="K61" s="186"/>
      <c r="L61" s="186"/>
      <c r="M61" s="186"/>
      <c r="P61" s="187"/>
      <c r="R61" s="187"/>
      <c r="S61" s="187"/>
      <c r="T61" s="187"/>
      <c r="U61" s="187"/>
      <c r="V61" s="187"/>
    </row>
    <row r="62" spans="1:28" ht="18" customHeight="1">
      <c r="I62" s="186"/>
      <c r="J62" s="186"/>
      <c r="K62" s="186"/>
      <c r="P62" s="180"/>
      <c r="R62" s="180"/>
      <c r="S62" s="180"/>
      <c r="T62" s="180"/>
      <c r="U62" s="180"/>
      <c r="V62" s="180"/>
    </row>
    <row r="63" spans="1:28" ht="18" customHeight="1">
      <c r="I63" s="186"/>
      <c r="J63" s="186"/>
      <c r="K63" s="186"/>
      <c r="P63" s="180"/>
      <c r="R63" s="180"/>
      <c r="S63" s="180"/>
      <c r="T63" s="180"/>
      <c r="U63" s="180"/>
      <c r="V63" s="180"/>
    </row>
    <row r="64" spans="1:28" ht="18" customHeight="1">
      <c r="I64" s="186"/>
      <c r="J64" s="186"/>
      <c r="K64" s="186"/>
      <c r="P64" s="180"/>
      <c r="R64" s="180"/>
      <c r="S64" s="180"/>
      <c r="T64" s="180"/>
      <c r="U64" s="180"/>
      <c r="V64" s="180"/>
    </row>
    <row r="65" spans="9:22" ht="18" customHeight="1">
      <c r="I65" s="186"/>
      <c r="J65" s="186"/>
      <c r="K65" s="186"/>
      <c r="N65" s="191"/>
      <c r="P65" s="160"/>
      <c r="R65" s="160"/>
      <c r="S65" s="180"/>
      <c r="T65" s="180"/>
      <c r="U65" s="180"/>
      <c r="V65" s="180"/>
    </row>
    <row r="66" spans="9:22" ht="18" customHeight="1">
      <c r="N66" s="191"/>
    </row>
    <row r="67" spans="9:22">
      <c r="I67" s="186"/>
      <c r="J67" s="186"/>
      <c r="K67" s="186"/>
    </row>
    <row r="68" spans="9:22" ht="15.75">
      <c r="I68" s="186"/>
      <c r="J68" s="186"/>
      <c r="K68" s="186"/>
      <c r="R68" s="180"/>
    </row>
    <row r="69" spans="9:22" ht="15.75">
      <c r="I69" s="186"/>
      <c r="J69" s="186"/>
      <c r="K69" s="186"/>
      <c r="O69" s="190"/>
    </row>
    <row r="70" spans="9:22" ht="15.75">
      <c r="I70" s="186"/>
      <c r="J70" s="186"/>
      <c r="K70" s="186"/>
      <c r="O70" s="190"/>
    </row>
    <row r="71" spans="9:22" ht="15.75">
      <c r="I71" s="186"/>
      <c r="J71" s="186"/>
      <c r="K71" s="186"/>
      <c r="O71" s="190"/>
    </row>
  </sheetData>
  <sheetProtection selectLockedCells="1"/>
  <mergeCells count="181">
    <mergeCell ref="D50:E50"/>
    <mergeCell ref="I50:J50"/>
    <mergeCell ref="K50:L50"/>
    <mergeCell ref="D51:E51"/>
    <mergeCell ref="I51:J51"/>
    <mergeCell ref="K51:L51"/>
    <mergeCell ref="D42:E42"/>
    <mergeCell ref="K39:L39"/>
    <mergeCell ref="I30:J30"/>
    <mergeCell ref="K36:L36"/>
    <mergeCell ref="K40:L40"/>
    <mergeCell ref="K37:L37"/>
    <mergeCell ref="K42:L42"/>
    <mergeCell ref="C43:D43"/>
    <mergeCell ref="I43:J43"/>
    <mergeCell ref="K43:L43"/>
    <mergeCell ref="I47:J47"/>
    <mergeCell ref="K47:L47"/>
    <mergeCell ref="I48:J48"/>
    <mergeCell ref="K48:L48"/>
    <mergeCell ref="E30:F30"/>
    <mergeCell ref="I41:J41"/>
    <mergeCell ref="I40:J40"/>
    <mergeCell ref="D40:E40"/>
    <mergeCell ref="N44:R48"/>
    <mergeCell ref="D55:E55"/>
    <mergeCell ref="I55:J55"/>
    <mergeCell ref="K55:L55"/>
    <mergeCell ref="O50:P50"/>
    <mergeCell ref="D52:E52"/>
    <mergeCell ref="I52:J52"/>
    <mergeCell ref="K52:L52"/>
    <mergeCell ref="D53:E53"/>
    <mergeCell ref="I53:J53"/>
    <mergeCell ref="K53:L53"/>
    <mergeCell ref="D54:E54"/>
    <mergeCell ref="I54:J54"/>
    <mergeCell ref="K54:L54"/>
    <mergeCell ref="C49:D49"/>
    <mergeCell ref="I49:J49"/>
    <mergeCell ref="K49:L49"/>
    <mergeCell ref="I44:J44"/>
    <mergeCell ref="K44:L44"/>
    <mergeCell ref="C45:C48"/>
    <mergeCell ref="I45:J45"/>
    <mergeCell ref="K45:L45"/>
    <mergeCell ref="I46:J46"/>
    <mergeCell ref="K46:L46"/>
    <mergeCell ref="I19:J19"/>
    <mergeCell ref="I20:J20"/>
    <mergeCell ref="I21:J21"/>
    <mergeCell ref="I22:J22"/>
    <mergeCell ref="I31:J31"/>
    <mergeCell ref="I32:J32"/>
    <mergeCell ref="I33:J33"/>
    <mergeCell ref="I34:J34"/>
    <mergeCell ref="D28:E28"/>
    <mergeCell ref="I23:J23"/>
    <mergeCell ref="I28:J28"/>
    <mergeCell ref="I29:J29"/>
    <mergeCell ref="C4:D4"/>
    <mergeCell ref="C5:D5"/>
    <mergeCell ref="D6:E6"/>
    <mergeCell ref="F6:G6"/>
    <mergeCell ref="F9:G9"/>
    <mergeCell ref="D7:E7"/>
    <mergeCell ref="D8:E8"/>
    <mergeCell ref="D9:E9"/>
    <mergeCell ref="I18:J18"/>
    <mergeCell ref="E17:F17"/>
    <mergeCell ref="U1:V1"/>
    <mergeCell ref="U3:V3"/>
    <mergeCell ref="U5:V5"/>
    <mergeCell ref="U4:V4"/>
    <mergeCell ref="U2:V2"/>
    <mergeCell ref="H9:J9"/>
    <mergeCell ref="H8:J8"/>
    <mergeCell ref="H7:J7"/>
    <mergeCell ref="K6:L6"/>
    <mergeCell ref="H6:J6"/>
    <mergeCell ref="K7:L7"/>
    <mergeCell ref="K8:L8"/>
    <mergeCell ref="Q2:R2"/>
    <mergeCell ref="N4:P4"/>
    <mergeCell ref="N5:P5"/>
    <mergeCell ref="Q5:R5"/>
    <mergeCell ref="Q4:R4"/>
    <mergeCell ref="Q3:R3"/>
    <mergeCell ref="E1:M2"/>
    <mergeCell ref="E3:M3"/>
    <mergeCell ref="E4:M4"/>
    <mergeCell ref="E5:M5"/>
    <mergeCell ref="F7:G7"/>
    <mergeCell ref="F8:G8"/>
    <mergeCell ref="Y7:Z7"/>
    <mergeCell ref="N40:P40"/>
    <mergeCell ref="O37:P37"/>
    <mergeCell ref="N41:P41"/>
    <mergeCell ref="N28:P28"/>
    <mergeCell ref="S19:V21"/>
    <mergeCell ref="S10:V10"/>
    <mergeCell ref="N32:P32"/>
    <mergeCell ref="N33:P33"/>
    <mergeCell ref="N34:P34"/>
    <mergeCell ref="N35:P35"/>
    <mergeCell ref="N39:P39"/>
    <mergeCell ref="N38:P38"/>
    <mergeCell ref="N31:P31"/>
    <mergeCell ref="N22:O22"/>
    <mergeCell ref="N21:O21"/>
    <mergeCell ref="N20:O20"/>
    <mergeCell ref="N19:O19"/>
    <mergeCell ref="N18:O18"/>
    <mergeCell ref="Q37:R37"/>
    <mergeCell ref="Q7:R7"/>
    <mergeCell ref="Q8:R8"/>
    <mergeCell ref="Q9:R9"/>
    <mergeCell ref="O6:P6"/>
    <mergeCell ref="O7:P7"/>
    <mergeCell ref="O8:P8"/>
    <mergeCell ref="O9:P9"/>
    <mergeCell ref="K31:L31"/>
    <mergeCell ref="K32:L32"/>
    <mergeCell ref="K33:L33"/>
    <mergeCell ref="K34:L34"/>
    <mergeCell ref="K35:L35"/>
    <mergeCell ref="K30:L30"/>
    <mergeCell ref="K17:L17"/>
    <mergeCell ref="K23:L23"/>
    <mergeCell ref="K18:L18"/>
    <mergeCell ref="K19:L19"/>
    <mergeCell ref="K20:L20"/>
    <mergeCell ref="K24:L24"/>
    <mergeCell ref="I42:J42"/>
    <mergeCell ref="C36:D36"/>
    <mergeCell ref="C23:D23"/>
    <mergeCell ref="N17:O17"/>
    <mergeCell ref="I37:J37"/>
    <mergeCell ref="I39:J39"/>
    <mergeCell ref="I38:J38"/>
    <mergeCell ref="K38:L38"/>
    <mergeCell ref="K41:L41"/>
    <mergeCell ref="I24:J24"/>
    <mergeCell ref="D26:E26"/>
    <mergeCell ref="D27:E27"/>
    <mergeCell ref="I27:J27"/>
    <mergeCell ref="D25:E25"/>
    <mergeCell ref="D24:E24"/>
    <mergeCell ref="I35:J35"/>
    <mergeCell ref="C19:C22"/>
    <mergeCell ref="C32:C35"/>
    <mergeCell ref="D41:E41"/>
    <mergeCell ref="D37:E37"/>
    <mergeCell ref="I36:J36"/>
    <mergeCell ref="D38:E38"/>
    <mergeCell ref="D39:E39"/>
    <mergeCell ref="D29:E29"/>
    <mergeCell ref="S2:T2"/>
    <mergeCell ref="S3:T3"/>
    <mergeCell ref="S4:T4"/>
    <mergeCell ref="S5:T5"/>
    <mergeCell ref="N1:T1"/>
    <mergeCell ref="N2:P2"/>
    <mergeCell ref="X2:Y2"/>
    <mergeCell ref="C30:D30"/>
    <mergeCell ref="C17:D17"/>
    <mergeCell ref="N3:P3"/>
    <mergeCell ref="K21:L21"/>
    <mergeCell ref="K22:L22"/>
    <mergeCell ref="I25:J25"/>
    <mergeCell ref="I26:J26"/>
    <mergeCell ref="K26:L26"/>
    <mergeCell ref="K27:L27"/>
    <mergeCell ref="K28:L28"/>
    <mergeCell ref="K29:L29"/>
    <mergeCell ref="N24:P25"/>
    <mergeCell ref="C1:D3"/>
    <mergeCell ref="K9:L9"/>
    <mergeCell ref="I17:J17"/>
    <mergeCell ref="K25:L25"/>
    <mergeCell ref="Q6:R6"/>
  </mergeCells>
  <conditionalFormatting sqref="O13:O16">
    <cfRule type="expression" dxfId="20" priority="76">
      <formula>#REF!="Euro"</formula>
    </cfRule>
    <cfRule type="expression" dxfId="19" priority="77">
      <formula>#REF!="U.S. Dollar"</formula>
    </cfRule>
    <cfRule type="expression" dxfId="18" priority="78">
      <formula>#REF!="British Pound"</formula>
    </cfRule>
  </conditionalFormatting>
  <conditionalFormatting sqref="Q18:Q20">
    <cfRule type="expression" dxfId="17" priority="126">
      <formula>#REF!="Euro"</formula>
    </cfRule>
    <cfRule type="expression" dxfId="16" priority="127">
      <formula>#REF!="U.S. Dollar"</formula>
    </cfRule>
    <cfRule type="expression" dxfId="15" priority="128">
      <formula>#REF!="British Pound"</formula>
    </cfRule>
  </conditionalFormatting>
  <conditionalFormatting sqref="R24:R25 R28">
    <cfRule type="expression" dxfId="14" priority="162">
      <formula>#REF!="Euro"</formula>
    </cfRule>
    <cfRule type="expression" dxfId="13" priority="163">
      <formula>#REF!="U.S. Dollar"</formula>
    </cfRule>
    <cfRule type="expression" dxfId="12" priority="164">
      <formula>#REF!="British Pound"</formula>
    </cfRule>
  </conditionalFormatting>
  <conditionalFormatting sqref="R38:R42">
    <cfRule type="expression" dxfId="11" priority="115">
      <formula>#REF!="Euro"</formula>
    </cfRule>
    <cfRule type="expression" dxfId="10" priority="116">
      <formula>#REF!="U.S. Dollar"</formula>
    </cfRule>
    <cfRule type="expression" dxfId="9" priority="117">
      <formula>#REF!="British Pound"</formula>
    </cfRule>
  </conditionalFormatting>
  <conditionalFormatting sqref="R31:V35">
    <cfRule type="expression" dxfId="8" priority="97">
      <formula>#REF!="Euro"</formula>
    </cfRule>
    <cfRule type="expression" dxfId="7" priority="98">
      <formula>#REF!="U.S. Dollar"</formula>
    </cfRule>
    <cfRule type="expression" dxfId="6" priority="99">
      <formula>#REF!="British Pound"</formula>
    </cfRule>
  </conditionalFormatting>
  <conditionalFormatting sqref="S38:V41">
    <cfRule type="expression" dxfId="5" priority="79">
      <formula>#REF!="Euro"</formula>
    </cfRule>
    <cfRule type="expression" dxfId="4" priority="80">
      <formula>#REF!="U.S. Dollar"</formula>
    </cfRule>
    <cfRule type="expression" dxfId="3" priority="81">
      <formula>#REF!="British Pound"</formula>
    </cfRule>
  </conditionalFormatting>
  <conditionalFormatting sqref="U18:V18">
    <cfRule type="expression" dxfId="2" priority="106">
      <formula>#REF!="Euro"</formula>
    </cfRule>
    <cfRule type="expression" dxfId="1" priority="107">
      <formula>#REF!="U.S. Dollar"</formula>
    </cfRule>
    <cfRule type="expression" dxfId="0" priority="108">
      <formula>#REF!="British Pound"</formula>
    </cfRule>
  </conditionalFormatting>
  <printOptions horizontalCentered="1"/>
  <pageMargins left="0.15748031496062992" right="0.15748031496062992" top="0.19685039370078741" bottom="0.19685039370078741" header="0.51181102362204722" footer="0.51181102362204722"/>
  <pageSetup paperSize="9" scale="41"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C598189-5344-442C-9CDD-53CA1F5AE863}">
          <x14:formula1>
            <xm:f>'EXCHANGE RATES'!$C$7:$C$150</xm:f>
          </x14:formula1>
          <xm:sqref>D12:D14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507F0-D8B8-471B-B964-C25F0E12A214}">
  <sheetPr codeName="Sheet9">
    <pageSetUpPr fitToPage="1"/>
  </sheetPr>
  <dimension ref="A1:K150"/>
  <sheetViews>
    <sheetView view="pageBreakPreview" topLeftCell="B1" zoomScale="115" zoomScaleNormal="100" zoomScaleSheetLayoutView="115" workbookViewId="0">
      <pane ySplit="6" topLeftCell="A7" activePane="bottomLeft" state="frozen"/>
      <selection activeCell="E5" sqref="E5:J5"/>
      <selection pane="bottomLeft" activeCell="B1" sqref="B1"/>
    </sheetView>
  </sheetViews>
  <sheetFormatPr defaultRowHeight="15"/>
  <cols>
    <col min="1" max="1" width="6.5703125" hidden="1" customWidth="1"/>
    <col min="2" max="2" width="11.85546875" style="42" bestFit="1" customWidth="1"/>
    <col min="3" max="3" width="49.140625" customWidth="1"/>
    <col min="4" max="4" width="29.42578125" bestFit="1" customWidth="1"/>
    <col min="5" max="5" width="20.28515625" customWidth="1"/>
    <col min="6" max="6" width="9.140625" style="43" customWidth="1"/>
    <col min="7" max="7" width="11.7109375" customWidth="1"/>
    <col min="8" max="8" width="4" hidden="1" customWidth="1"/>
    <col min="10" max="10" width="10" bestFit="1" customWidth="1"/>
    <col min="11" max="11" width="12.7109375" bestFit="1" customWidth="1"/>
  </cols>
  <sheetData>
    <row r="1" spans="1:9" ht="17.25" thickTop="1" thickBot="1">
      <c r="B1" s="1" t="s">
        <v>0</v>
      </c>
      <c r="C1" s="147" t="s">
        <v>1</v>
      </c>
      <c r="D1" s="144" t="s">
        <v>2</v>
      </c>
      <c r="E1" s="651" t="str" cm="1">
        <f t="array" aca="1" ref="E1" ca="1">RIGHT(CELL("filename",F1),LEN(CELL("filename",F1))-FIND("]",CELL("filename",F1)))</f>
        <v>EXCHANGE RATES</v>
      </c>
      <c r="F1" s="651"/>
      <c r="G1" s="2" t="s">
        <v>3</v>
      </c>
    </row>
    <row r="2" spans="1:9" ht="17.25" thickTop="1" thickBot="1">
      <c r="B2" s="145"/>
      <c r="C2" s="148" t="s">
        <v>4</v>
      </c>
      <c r="D2" s="3" t="s">
        <v>5</v>
      </c>
      <c r="E2" s="4" t="s">
        <v>6</v>
      </c>
      <c r="F2" s="5" t="s">
        <v>7</v>
      </c>
      <c r="G2" s="142">
        <v>1</v>
      </c>
    </row>
    <row r="3" spans="1:9" ht="16.5" thickTop="1">
      <c r="B3" s="146" t="s">
        <v>8</v>
      </c>
      <c r="C3" s="149" t="s">
        <v>9</v>
      </c>
      <c r="D3" s="6" t="s">
        <v>10</v>
      </c>
      <c r="E3" s="143" t="s">
        <v>11</v>
      </c>
      <c r="F3" s="143" t="s">
        <v>11</v>
      </c>
      <c r="G3" s="141"/>
    </row>
    <row r="4" spans="1:9">
      <c r="B4" s="7" t="s">
        <v>12</v>
      </c>
      <c r="C4" s="8" t="str" cm="1">
        <f t="array" aca="1" ref="C4" ca="1">"AES - "&amp;RIGHT(CELL("filename",D2),LEN(CELL("filename",D2))-FIND("]",CELL("filename",D2)))&amp;" - INTERNAL USE ONLY - VERSION 9.0"</f>
        <v>AES - EXCHANGE RATES - INTERNAL USE ONLY - VERSION 9.0</v>
      </c>
      <c r="D4" s="5" t="s">
        <v>13</v>
      </c>
      <c r="E4" s="9" t="s">
        <v>14</v>
      </c>
      <c r="F4" s="5" t="s">
        <v>15</v>
      </c>
      <c r="G4" s="10" t="s">
        <v>16</v>
      </c>
    </row>
    <row r="5" spans="1:9" ht="15.75" thickBot="1">
      <c r="B5" s="11" t="s">
        <v>17</v>
      </c>
      <c r="C5" s="12" t="str" cm="1">
        <f t="array" aca="1" ref="C5" ca="1">RIGHT(CELL("filename",D2),LEN(CELL("filename",D2))-FIND("]",CELL("filename",D2)))&amp;" - 2025-10-30"</f>
        <v>EXCHANGE RATES - 2025-10-30</v>
      </c>
      <c r="D5" s="13">
        <v>1</v>
      </c>
      <c r="E5" s="14">
        <f ca="1">TODAY()</f>
        <v>46199</v>
      </c>
      <c r="F5" s="13" t="s">
        <v>18</v>
      </c>
      <c r="G5" s="15" t="s">
        <v>19</v>
      </c>
    </row>
    <row r="6" spans="1:9" s="21" customFormat="1" ht="16.5" thickTop="1" thickBot="1">
      <c r="A6" s="16" t="s">
        <v>20</v>
      </c>
      <c r="B6" s="16" t="s">
        <v>632</v>
      </c>
      <c r="C6" s="17" t="s">
        <v>307</v>
      </c>
      <c r="D6" s="18" t="s">
        <v>448</v>
      </c>
      <c r="E6" s="18" t="s">
        <v>449</v>
      </c>
      <c r="F6" s="19" t="s">
        <v>308</v>
      </c>
      <c r="G6" s="20" t="s">
        <v>21</v>
      </c>
      <c r="H6" s="16" t="s">
        <v>20</v>
      </c>
    </row>
    <row r="7" spans="1:9">
      <c r="A7">
        <v>1</v>
      </c>
      <c r="B7" s="22" t="str">
        <f t="shared" ref="B7:B38" si="0">IF(F7&amp;" "&amp;G7=F7&amp;" "&amp;F7,G7,F7&amp;" "&amp;G7)</f>
        <v>GBP £</v>
      </c>
      <c r="C7" s="23" t="s">
        <v>450</v>
      </c>
      <c r="D7" s="24">
        <f>VLOOKUP($C7,Table_1[#All],3,FALSE)</f>
        <v>1</v>
      </c>
      <c r="E7" s="24">
        <f>VLOOKUP($C7,Table_1[#All],4,FALSE)</f>
        <v>1</v>
      </c>
      <c r="F7" s="25" t="s">
        <v>29</v>
      </c>
      <c r="G7" s="26" t="s">
        <v>28</v>
      </c>
      <c r="H7">
        <v>1</v>
      </c>
      <c r="I7" s="21"/>
    </row>
    <row r="8" spans="1:9">
      <c r="A8">
        <v>2</v>
      </c>
      <c r="B8" s="27" t="str">
        <f t="shared" si="0"/>
        <v>USD $</v>
      </c>
      <c r="C8" s="28" t="s">
        <v>22</v>
      </c>
      <c r="D8" s="29">
        <f>VLOOKUP($C8,Table_1[#All],3,FALSE)</f>
        <v>1.3213360000000001</v>
      </c>
      <c r="E8" s="29">
        <f>VLOOKUP($C8,Table_1[#All],4,FALSE)</f>
        <v>0.75680999999999998</v>
      </c>
      <c r="F8" s="30" t="s">
        <v>24</v>
      </c>
      <c r="G8" s="31" t="s">
        <v>23</v>
      </c>
      <c r="H8">
        <v>2</v>
      </c>
      <c r="I8" s="21"/>
    </row>
    <row r="9" spans="1:9" ht="15.75" thickBot="1">
      <c r="A9">
        <v>3</v>
      </c>
      <c r="B9" s="32" t="str">
        <f t="shared" si="0"/>
        <v>EUR €</v>
      </c>
      <c r="C9" s="33" t="s">
        <v>25</v>
      </c>
      <c r="D9" s="34">
        <f>VLOOKUP($C9,Table_1[#All],3,FALSE)</f>
        <v>1.1596109999999999</v>
      </c>
      <c r="E9" s="34">
        <f>VLOOKUP($C9,Table_1[#All],4,FALSE)</f>
        <v>0.86235799999999996</v>
      </c>
      <c r="F9" s="35" t="s">
        <v>27</v>
      </c>
      <c r="G9" s="36" t="s">
        <v>26</v>
      </c>
      <c r="H9">
        <v>3</v>
      </c>
      <c r="I9" s="21"/>
    </row>
    <row r="10" spans="1:9">
      <c r="A10">
        <v>4</v>
      </c>
      <c r="B10" s="37" t="str">
        <f t="shared" si="0"/>
        <v>AUD $</v>
      </c>
      <c r="C10" s="38" t="s">
        <v>30</v>
      </c>
      <c r="D10" s="39">
        <f>VLOOKUP($C10,Table_1[#All],3,FALSE)</f>
        <v>1.915457</v>
      </c>
      <c r="E10" s="39">
        <f>VLOOKUP($C10,Table_1[#All],4,FALSE)</f>
        <v>0.52206900000000001</v>
      </c>
      <c r="F10" s="40" t="s">
        <v>31</v>
      </c>
      <c r="G10" s="41" t="s">
        <v>23</v>
      </c>
      <c r="H10">
        <v>4</v>
      </c>
      <c r="I10" s="21"/>
    </row>
    <row r="11" spans="1:9">
      <c r="A11">
        <v>5</v>
      </c>
      <c r="B11" s="37" t="str">
        <f t="shared" si="0"/>
        <v>CAD $</v>
      </c>
      <c r="C11" s="38" t="s">
        <v>32</v>
      </c>
      <c r="D11" s="39">
        <f>VLOOKUP($C11,Table_1[#All],3,FALSE)</f>
        <v>1.8743259999999999</v>
      </c>
      <c r="E11" s="39">
        <f>VLOOKUP($C11,Table_1[#All],4,FALSE)</f>
        <v>0.53352500000000003</v>
      </c>
      <c r="F11" s="40" t="s">
        <v>33</v>
      </c>
      <c r="G11" s="41" t="s">
        <v>23</v>
      </c>
      <c r="H11">
        <v>5</v>
      </c>
      <c r="I11" s="21"/>
    </row>
    <row r="12" spans="1:9">
      <c r="A12">
        <v>6</v>
      </c>
      <c r="B12" s="37" t="str">
        <f t="shared" si="0"/>
        <v>JPY ¥</v>
      </c>
      <c r="C12" s="38" t="s">
        <v>34</v>
      </c>
      <c r="D12" s="39">
        <f>VLOOKUP($C12,Table_1[#All],3,FALSE)</f>
        <v>213.52706699999999</v>
      </c>
      <c r="E12" s="39">
        <f>VLOOKUP($C12,Table_1[#All],4,FALSE)</f>
        <v>4.6829999999999997E-3</v>
      </c>
      <c r="F12" s="40" t="s">
        <v>36</v>
      </c>
      <c r="G12" s="41" t="s">
        <v>35</v>
      </c>
      <c r="H12">
        <v>6</v>
      </c>
      <c r="I12" s="21"/>
    </row>
    <row r="13" spans="1:9">
      <c r="A13">
        <v>7</v>
      </c>
      <c r="B13" s="37" t="str">
        <f t="shared" si="0"/>
        <v>CHF</v>
      </c>
      <c r="C13" s="38" t="s">
        <v>38</v>
      </c>
      <c r="D13" s="39">
        <f>VLOOKUP($C13,Table_1[#All],3,FALSE)</f>
        <v>1.0684119999999999</v>
      </c>
      <c r="E13" s="39">
        <f>VLOOKUP($C13,Table_1[#All],4,FALSE)</f>
        <v>0.93596900000000005</v>
      </c>
      <c r="F13" s="40" t="s">
        <v>37</v>
      </c>
      <c r="G13" s="41" t="s">
        <v>37</v>
      </c>
      <c r="H13">
        <v>7</v>
      </c>
    </row>
    <row r="14" spans="1:9">
      <c r="A14">
        <v>8</v>
      </c>
      <c r="B14" s="37" t="str">
        <f t="shared" si="0"/>
        <v>KMF</v>
      </c>
      <c r="C14" s="38" t="s">
        <v>532</v>
      </c>
      <c r="D14" s="39">
        <f>VLOOKUP($C14,Table_1[#All],3,FALSE)</f>
        <v>570.17338700000005</v>
      </c>
      <c r="E14" s="39">
        <f>VLOOKUP($C14,Table_1[#All],4,FALSE)</f>
        <v>1.7539999999999999E-3</v>
      </c>
      <c r="F14" s="40" t="s">
        <v>39</v>
      </c>
      <c r="G14" s="41" t="s">
        <v>39</v>
      </c>
      <c r="H14">
        <v>8</v>
      </c>
    </row>
    <row r="15" spans="1:9">
      <c r="A15">
        <v>9</v>
      </c>
      <c r="B15" s="37" t="str">
        <f t="shared" si="0"/>
        <v>AFN ؋</v>
      </c>
      <c r="C15" s="38" t="s">
        <v>452</v>
      </c>
      <c r="D15" s="39">
        <f>VLOOKUP($C15,Table_1[#All],3,FALSE)</f>
        <v>85.433217999999997</v>
      </c>
      <c r="E15" s="39">
        <f>VLOOKUP($C15,Table_1[#All],4,FALSE)</f>
        <v>1.1705E-2</v>
      </c>
      <c r="F15" s="40" t="s">
        <v>453</v>
      </c>
      <c r="G15" s="41" t="s">
        <v>40</v>
      </c>
      <c r="H15">
        <v>9</v>
      </c>
    </row>
    <row r="16" spans="1:9">
      <c r="A16">
        <v>10</v>
      </c>
      <c r="B16" s="37" t="str">
        <f t="shared" si="0"/>
        <v>ALL L</v>
      </c>
      <c r="C16" s="38" t="s">
        <v>455</v>
      </c>
      <c r="D16" s="39">
        <f>VLOOKUP($C16,Table_1[#All],3,FALSE)</f>
        <v>109.325165</v>
      </c>
      <c r="E16" s="39">
        <f>VLOOKUP($C16,Table_1[#All],4,FALSE)</f>
        <v>9.1470000000000006E-3</v>
      </c>
      <c r="F16" s="40" t="s">
        <v>456</v>
      </c>
      <c r="G16" s="41" t="s">
        <v>41</v>
      </c>
      <c r="H16">
        <v>10</v>
      </c>
    </row>
    <row r="17" spans="1:8">
      <c r="A17">
        <v>11</v>
      </c>
      <c r="B17" s="37" t="str">
        <f t="shared" si="0"/>
        <v>DZD دج</v>
      </c>
      <c r="C17" s="38" t="s">
        <v>42</v>
      </c>
      <c r="D17" s="39">
        <f>VLOOKUP($C17,Table_1[#All],3,FALSE)</f>
        <v>176.24947900000001</v>
      </c>
      <c r="E17" s="39">
        <f>VLOOKUP($C17,Table_1[#All],4,FALSE)</f>
        <v>5.6740000000000002E-3</v>
      </c>
      <c r="F17" s="40" t="s">
        <v>44</v>
      </c>
      <c r="G17" s="41" t="s">
        <v>43</v>
      </c>
      <c r="H17">
        <v>11</v>
      </c>
    </row>
    <row r="18" spans="1:8">
      <c r="A18">
        <v>12</v>
      </c>
      <c r="B18" s="37" t="str">
        <f t="shared" si="0"/>
        <v>AOA Kz</v>
      </c>
      <c r="C18" s="38" t="s">
        <v>458</v>
      </c>
      <c r="D18" s="39">
        <f>VLOOKUP($C18,Table_1[#All],3,FALSE)</f>
        <v>1217.9748259999999</v>
      </c>
      <c r="E18" s="39">
        <f>VLOOKUP($C18,Table_1[#All],4,FALSE)</f>
        <v>8.2100000000000001E-4</v>
      </c>
      <c r="F18" s="40" t="s">
        <v>459</v>
      </c>
      <c r="G18" s="41" t="s">
        <v>45</v>
      </c>
      <c r="H18">
        <v>12</v>
      </c>
    </row>
    <row r="19" spans="1:8">
      <c r="A19">
        <v>13</v>
      </c>
      <c r="B19" s="37" t="str">
        <f t="shared" si="0"/>
        <v>ARS $</v>
      </c>
      <c r="C19" s="38" t="s">
        <v>46</v>
      </c>
      <c r="D19" s="39">
        <f>VLOOKUP($C19,Table_1[#All],3,FALSE)</f>
        <v>1951.213714</v>
      </c>
      <c r="E19" s="39">
        <f>VLOOKUP($C19,Table_1[#All],4,FALSE)</f>
        <v>5.13E-4</v>
      </c>
      <c r="F19" s="40" t="s">
        <v>47</v>
      </c>
      <c r="G19" s="41" t="s">
        <v>23</v>
      </c>
      <c r="H19">
        <v>13</v>
      </c>
    </row>
    <row r="20" spans="1:8">
      <c r="A20">
        <v>14</v>
      </c>
      <c r="B20" s="37" t="str">
        <f t="shared" si="0"/>
        <v>AMD ֏</v>
      </c>
      <c r="C20" s="38" t="s">
        <v>48</v>
      </c>
      <c r="D20" s="39">
        <f>VLOOKUP($C20,Table_1[#All],3,FALSE)</f>
        <v>485.872883</v>
      </c>
      <c r="E20" s="39">
        <f>VLOOKUP($C20,Table_1[#All],4,FALSE)</f>
        <v>2.0579999999999999E-3</v>
      </c>
      <c r="F20" s="40" t="s">
        <v>50</v>
      </c>
      <c r="G20" s="41" t="s">
        <v>49</v>
      </c>
      <c r="H20">
        <v>14</v>
      </c>
    </row>
    <row r="21" spans="1:8">
      <c r="A21">
        <v>15</v>
      </c>
      <c r="B21" s="37" t="str">
        <f t="shared" si="0"/>
        <v>AWG ƒ</v>
      </c>
      <c r="C21" s="38" t="s">
        <v>461</v>
      </c>
      <c r="D21" s="39">
        <f>VLOOKUP($C21,Table_1[#All],3,FALSE)</f>
        <v>2.3652160000000002</v>
      </c>
      <c r="E21" s="39">
        <f>VLOOKUP($C21,Table_1[#All],4,FALSE)</f>
        <v>0.422794</v>
      </c>
      <c r="F21" s="40" t="s">
        <v>462</v>
      </c>
      <c r="G21" s="41" t="s">
        <v>51</v>
      </c>
      <c r="H21">
        <v>15</v>
      </c>
    </row>
    <row r="22" spans="1:8">
      <c r="A22">
        <v>16</v>
      </c>
      <c r="B22" s="37" t="str">
        <f t="shared" si="0"/>
        <v>AZN ман</v>
      </c>
      <c r="C22" s="38" t="s">
        <v>52</v>
      </c>
      <c r="D22" s="39">
        <f>VLOOKUP($C22,Table_1[#All],3,FALSE)</f>
        <v>2.2462550000000001</v>
      </c>
      <c r="E22" s="39">
        <f>VLOOKUP($C22,Table_1[#All],4,FALSE)</f>
        <v>0.445185</v>
      </c>
      <c r="F22" s="40" t="s">
        <v>54</v>
      </c>
      <c r="G22" s="41" t="s">
        <v>53</v>
      </c>
      <c r="H22">
        <v>16</v>
      </c>
    </row>
    <row r="23" spans="1:8">
      <c r="A23">
        <v>17</v>
      </c>
      <c r="B23" s="37" t="str">
        <f t="shared" si="0"/>
        <v>BSD $</v>
      </c>
      <c r="C23" s="38" t="s">
        <v>476</v>
      </c>
      <c r="D23" s="39">
        <f>VLOOKUP($C23,Table_1[#All],3,FALSE)</f>
        <v>1.3213360000000001</v>
      </c>
      <c r="E23" s="39">
        <f>VLOOKUP($C23,Table_1[#All],4,FALSE)</f>
        <v>0.75680999999999998</v>
      </c>
      <c r="F23" s="40" t="s">
        <v>477</v>
      </c>
      <c r="G23" s="41" t="s">
        <v>23</v>
      </c>
      <c r="H23">
        <v>17</v>
      </c>
    </row>
    <row r="24" spans="1:8">
      <c r="A24">
        <v>18</v>
      </c>
      <c r="B24" s="37" t="str">
        <f t="shared" si="0"/>
        <v>BHD .د.ب</v>
      </c>
      <c r="C24" s="38" t="s">
        <v>55</v>
      </c>
      <c r="D24" s="39">
        <f>VLOOKUP($C24,Table_1[#All],3,FALSE)</f>
        <v>0.49719600000000003</v>
      </c>
      <c r="E24" s="39">
        <f>VLOOKUP($C24,Table_1[#All],4,FALSE)</f>
        <v>2.011279</v>
      </c>
      <c r="F24" s="40" t="s">
        <v>57</v>
      </c>
      <c r="G24" s="41" t="s">
        <v>56</v>
      </c>
      <c r="H24">
        <v>18</v>
      </c>
    </row>
    <row r="25" spans="1:8">
      <c r="A25">
        <v>19</v>
      </c>
      <c r="B25" s="37" t="str">
        <f t="shared" si="0"/>
        <v>BDT</v>
      </c>
      <c r="C25" s="38" t="s">
        <v>59</v>
      </c>
      <c r="D25" s="39">
        <f>VLOOKUP($C25,Table_1[#All],3,FALSE)</f>
        <v>162.20938000000001</v>
      </c>
      <c r="E25" s="39">
        <f>VLOOKUP($C25,Table_1[#All],4,FALSE)</f>
        <v>6.1650000000000003E-3</v>
      </c>
      <c r="F25" s="40" t="s">
        <v>58</v>
      </c>
      <c r="G25" s="41" t="s">
        <v>58</v>
      </c>
      <c r="H25">
        <v>19</v>
      </c>
    </row>
    <row r="26" spans="1:8">
      <c r="A26">
        <v>20</v>
      </c>
      <c r="B26" s="37" t="str">
        <f t="shared" si="0"/>
        <v>BBD $</v>
      </c>
      <c r="C26" s="38" t="s">
        <v>467</v>
      </c>
      <c r="D26" s="39">
        <f>VLOOKUP($C26,Table_1[#All],3,FALSE)</f>
        <v>2.6426720000000001</v>
      </c>
      <c r="E26" s="39">
        <f>VLOOKUP($C26,Table_1[#All],4,FALSE)</f>
        <v>0.37840499999999999</v>
      </c>
      <c r="F26" s="40" t="s">
        <v>468</v>
      </c>
      <c r="G26" s="41" t="s">
        <v>23</v>
      </c>
      <c r="H26">
        <v>20</v>
      </c>
    </row>
    <row r="27" spans="1:8">
      <c r="A27">
        <v>21</v>
      </c>
      <c r="B27" s="37" t="str">
        <f t="shared" si="0"/>
        <v>BYN Br</v>
      </c>
      <c r="C27" s="38" t="s">
        <v>60</v>
      </c>
      <c r="D27" s="39">
        <f>VLOOKUP($C27,Table_1[#All],3,FALSE)</f>
        <v>3.8326509999999998</v>
      </c>
      <c r="E27" s="39">
        <f>VLOOKUP($C27,Table_1[#All],4,FALSE)</f>
        <v>0.26091599999999998</v>
      </c>
      <c r="F27" s="40" t="s">
        <v>62</v>
      </c>
      <c r="G27" s="41" t="s">
        <v>61</v>
      </c>
      <c r="H27">
        <v>21</v>
      </c>
    </row>
    <row r="28" spans="1:8">
      <c r="A28">
        <v>22</v>
      </c>
      <c r="B28" s="37" t="str">
        <f t="shared" si="0"/>
        <v>BZD BZ$</v>
      </c>
      <c r="C28" s="38" t="s">
        <v>482</v>
      </c>
      <c r="D28" s="39">
        <f>VLOOKUP($C28,Table_1[#All],3,FALSE)</f>
        <v>2.6426720000000001</v>
      </c>
      <c r="E28" s="39">
        <f>VLOOKUP($C28,Table_1[#All],4,FALSE)</f>
        <v>0.37840499999999999</v>
      </c>
      <c r="F28" s="40" t="s">
        <v>483</v>
      </c>
      <c r="G28" s="41" t="s">
        <v>63</v>
      </c>
      <c r="H28">
        <v>22</v>
      </c>
    </row>
    <row r="29" spans="1:8">
      <c r="A29">
        <v>23</v>
      </c>
      <c r="B29" s="37" t="str">
        <f t="shared" si="0"/>
        <v>BOB $b</v>
      </c>
      <c r="C29" s="38" t="s">
        <v>64</v>
      </c>
      <c r="D29" s="39">
        <f>VLOOKUP($C29,Table_1[#All],3,FALSE)</f>
        <v>9.1304420000000004</v>
      </c>
      <c r="E29" s="39">
        <f>VLOOKUP($C29,Table_1[#All],4,FALSE)</f>
        <v>0.109524</v>
      </c>
      <c r="F29" s="40" t="s">
        <v>66</v>
      </c>
      <c r="G29" s="41" t="s">
        <v>65</v>
      </c>
      <c r="H29">
        <v>23</v>
      </c>
    </row>
    <row r="30" spans="1:8">
      <c r="A30">
        <v>24</v>
      </c>
      <c r="B30" s="37" t="str">
        <f t="shared" si="0"/>
        <v>BAM KM</v>
      </c>
      <c r="C30" s="38" t="s">
        <v>464</v>
      </c>
      <c r="D30" s="39">
        <f>VLOOKUP($C30,Table_1[#All],3,FALSE)</f>
        <v>2.2667380000000001</v>
      </c>
      <c r="E30" s="39">
        <f>VLOOKUP($C30,Table_1[#All],4,FALSE)</f>
        <v>0.441162</v>
      </c>
      <c r="F30" s="40" t="s">
        <v>465</v>
      </c>
      <c r="G30" s="41" t="s">
        <v>67</v>
      </c>
      <c r="H30">
        <v>24</v>
      </c>
    </row>
    <row r="31" spans="1:8">
      <c r="A31">
        <v>25</v>
      </c>
      <c r="B31" s="37" t="str">
        <f t="shared" si="0"/>
        <v>BWP P</v>
      </c>
      <c r="C31" s="38" t="s">
        <v>479</v>
      </c>
      <c r="D31" s="39">
        <f>VLOOKUP($C31,Table_1[#All],3,FALSE)</f>
        <v>18.377359999999999</v>
      </c>
      <c r="E31" s="39">
        <f>VLOOKUP($C31,Table_1[#All],4,FALSE)</f>
        <v>5.4414999999999998E-2</v>
      </c>
      <c r="F31" s="40" t="s">
        <v>480</v>
      </c>
      <c r="G31" s="41" t="s">
        <v>68</v>
      </c>
      <c r="H31">
        <v>25</v>
      </c>
    </row>
    <row r="32" spans="1:8">
      <c r="A32">
        <v>26</v>
      </c>
      <c r="B32" s="37" t="str">
        <f t="shared" si="0"/>
        <v>BRL R$</v>
      </c>
      <c r="C32" s="38" t="s">
        <v>69</v>
      </c>
      <c r="D32" s="39">
        <f>VLOOKUP($C32,Table_1[#All],3,FALSE)</f>
        <v>6.8390050000000002</v>
      </c>
      <c r="E32" s="39">
        <f>VLOOKUP($C32,Table_1[#All],4,FALSE)</f>
        <v>0.14621999999999999</v>
      </c>
      <c r="F32" s="40" t="s">
        <v>71</v>
      </c>
      <c r="G32" s="41" t="s">
        <v>70</v>
      </c>
      <c r="H32">
        <v>26</v>
      </c>
    </row>
    <row r="33" spans="1:8">
      <c r="A33">
        <v>27</v>
      </c>
      <c r="B33" s="37" t="str">
        <f t="shared" si="0"/>
        <v>BND $</v>
      </c>
      <c r="C33" s="38" t="s">
        <v>473</v>
      </c>
      <c r="D33" s="39">
        <f>VLOOKUP($C33,Table_1[#All],3,FALSE)</f>
        <v>1.710053</v>
      </c>
      <c r="E33" s="39">
        <f>VLOOKUP($C33,Table_1[#All],4,FALSE)</f>
        <v>0.58477699999999999</v>
      </c>
      <c r="F33" s="40" t="s">
        <v>474</v>
      </c>
      <c r="G33" s="41" t="s">
        <v>23</v>
      </c>
      <c r="H33">
        <v>27</v>
      </c>
    </row>
    <row r="34" spans="1:8">
      <c r="A34">
        <v>28</v>
      </c>
      <c r="B34" s="37" t="str">
        <f t="shared" si="0"/>
        <v>BGN лв</v>
      </c>
      <c r="C34" s="38" t="s">
        <v>72</v>
      </c>
      <c r="D34" s="39" t="e">
        <f>VLOOKUP($C34,Table_1[#All],3,FALSE)</f>
        <v>#N/A</v>
      </c>
      <c r="E34" s="39" t="e">
        <f>VLOOKUP($C34,Table_1[#All],4,FALSE)</f>
        <v>#N/A</v>
      </c>
      <c r="F34" s="40" t="s">
        <v>74</v>
      </c>
      <c r="G34" s="41" t="s">
        <v>73</v>
      </c>
      <c r="H34">
        <v>28</v>
      </c>
    </row>
    <row r="35" spans="1:8">
      <c r="A35">
        <v>29</v>
      </c>
      <c r="B35" s="37" t="str">
        <f t="shared" si="0"/>
        <v>BIF Fbu</v>
      </c>
      <c r="C35" s="38" t="s">
        <v>470</v>
      </c>
      <c r="D35" s="39">
        <f>VLOOKUP($C35,Table_1[#All],3,FALSE)</f>
        <v>3957.5860480000001</v>
      </c>
      <c r="E35" s="39">
        <f>VLOOKUP($C35,Table_1[#All],4,FALSE)</f>
        <v>2.5300000000000002E-4</v>
      </c>
      <c r="F35" s="40" t="s">
        <v>471</v>
      </c>
      <c r="G35" s="41" t="s">
        <v>75</v>
      </c>
      <c r="H35">
        <v>29</v>
      </c>
    </row>
    <row r="36" spans="1:8">
      <c r="A36">
        <v>30</v>
      </c>
      <c r="B36" s="37" t="str">
        <f t="shared" si="0"/>
        <v>KHR ៛</v>
      </c>
      <c r="C36" s="38" t="s">
        <v>529</v>
      </c>
      <c r="D36" s="39">
        <f>VLOOKUP($C36,Table_1[#All],3,FALSE)</f>
        <v>5313.5414479999999</v>
      </c>
      <c r="E36" s="39">
        <f>VLOOKUP($C36,Table_1[#All],4,FALSE)</f>
        <v>1.8799999999999999E-4</v>
      </c>
      <c r="F36" s="40" t="s">
        <v>530</v>
      </c>
      <c r="G36" s="41" t="s">
        <v>76</v>
      </c>
      <c r="H36">
        <v>30</v>
      </c>
    </row>
    <row r="37" spans="1:8">
      <c r="A37">
        <v>31</v>
      </c>
      <c r="B37" s="37" t="str">
        <f t="shared" si="0"/>
        <v>CVE</v>
      </c>
      <c r="C37" s="38" t="s">
        <v>490</v>
      </c>
      <c r="D37" s="39">
        <f>VLOOKUP($C37,Table_1[#All],3,FALSE)</f>
        <v>127.793272</v>
      </c>
      <c r="E37" s="39">
        <f>VLOOKUP($C37,Table_1[#All],4,FALSE)</f>
        <v>7.8250000000000004E-3</v>
      </c>
      <c r="F37" s="40" t="s">
        <v>77</v>
      </c>
      <c r="G37" s="41" t="s">
        <v>77</v>
      </c>
      <c r="H37">
        <v>31</v>
      </c>
    </row>
    <row r="38" spans="1:8">
      <c r="A38">
        <v>32</v>
      </c>
      <c r="B38" s="37" t="str">
        <f t="shared" si="0"/>
        <v>XAF</v>
      </c>
      <c r="C38" s="38" t="s">
        <v>79</v>
      </c>
      <c r="D38" s="39">
        <f>VLOOKUP($C38,Table_1[#All],3,FALSE)</f>
        <v>760.23118199999999</v>
      </c>
      <c r="E38" s="39">
        <f>VLOOKUP($C38,Table_1[#All],4,FALSE)</f>
        <v>1.315E-3</v>
      </c>
      <c r="F38" s="40" t="s">
        <v>78</v>
      </c>
      <c r="G38" s="41" t="s">
        <v>78</v>
      </c>
      <c r="H38">
        <v>32</v>
      </c>
    </row>
    <row r="39" spans="1:8">
      <c r="A39">
        <v>33</v>
      </c>
      <c r="B39" s="37" t="str">
        <f t="shared" ref="B39:B70" si="1">IF(F39&amp;" "&amp;G39=F39&amp;" "&amp;F39,G39,F39&amp;" "&amp;G39)</f>
        <v>XPF ₣</v>
      </c>
      <c r="C39" s="38" t="s">
        <v>623</v>
      </c>
      <c r="D39" s="39">
        <f>VLOOKUP($C39,Table_1[#All],3,FALSE)</f>
        <v>138.30126000000001</v>
      </c>
      <c r="E39" s="39">
        <f>VLOOKUP($C39,Table_1[#All],4,FALSE)</f>
        <v>7.2309999999999996E-3</v>
      </c>
      <c r="F39" s="40" t="s">
        <v>624</v>
      </c>
      <c r="G39" s="41" t="s">
        <v>80</v>
      </c>
      <c r="H39">
        <v>33</v>
      </c>
    </row>
    <row r="40" spans="1:8">
      <c r="A40">
        <v>34</v>
      </c>
      <c r="B40" s="37" t="str">
        <f t="shared" si="1"/>
        <v>CLP $</v>
      </c>
      <c r="C40" s="38" t="s">
        <v>81</v>
      </c>
      <c r="D40" s="39">
        <f>VLOOKUP($C40,Table_1[#All],3,FALSE)</f>
        <v>1216.4430620000001</v>
      </c>
      <c r="E40" s="39">
        <f>VLOOKUP($C40,Table_1[#All],4,FALSE)</f>
        <v>8.2200000000000003E-4</v>
      </c>
      <c r="F40" s="40" t="s">
        <v>82</v>
      </c>
      <c r="G40" s="41" t="s">
        <v>23</v>
      </c>
      <c r="H40">
        <v>34</v>
      </c>
    </row>
    <row r="41" spans="1:8">
      <c r="A41">
        <v>35</v>
      </c>
      <c r="B41" s="37" t="str">
        <f t="shared" si="1"/>
        <v>CNY ¥</v>
      </c>
      <c r="C41" s="38" t="s">
        <v>83</v>
      </c>
      <c r="D41" s="39">
        <f>VLOOKUP($C41,Table_1[#All],3,FALSE)</f>
        <v>8.9836919999999996</v>
      </c>
      <c r="E41" s="39">
        <f>VLOOKUP($C41,Table_1[#All],4,FALSE)</f>
        <v>0.111313</v>
      </c>
      <c r="F41" s="40" t="s">
        <v>84</v>
      </c>
      <c r="G41" s="41" t="s">
        <v>35</v>
      </c>
      <c r="H41">
        <v>35</v>
      </c>
    </row>
    <row r="42" spans="1:8">
      <c r="A42">
        <v>36</v>
      </c>
      <c r="B42" s="37" t="str">
        <f t="shared" si="1"/>
        <v>COP $</v>
      </c>
      <c r="C42" s="38" t="s">
        <v>85</v>
      </c>
      <c r="D42" s="39">
        <f>VLOOKUP($C42,Table_1[#All],3,FALSE)</f>
        <v>4539.3296710000004</v>
      </c>
      <c r="E42" s="39">
        <f>VLOOKUP($C42,Table_1[#All],4,FALSE)</f>
        <v>2.2000000000000001E-4</v>
      </c>
      <c r="F42" s="40" t="s">
        <v>86</v>
      </c>
      <c r="G42" s="41" t="s">
        <v>23</v>
      </c>
      <c r="H42">
        <v>36</v>
      </c>
    </row>
    <row r="43" spans="1:8">
      <c r="A43">
        <v>37</v>
      </c>
      <c r="B43" s="37" t="str">
        <f t="shared" si="1"/>
        <v>CDF</v>
      </c>
      <c r="C43" s="38" t="s">
        <v>485</v>
      </c>
      <c r="D43" s="39">
        <f>VLOOKUP($C43,Table_1[#All],3,FALSE)</f>
        <v>2994.1472800000001</v>
      </c>
      <c r="E43" s="39">
        <f>VLOOKUP($C43,Table_1[#All],4,FALSE)</f>
        <v>3.3399999999999999E-4</v>
      </c>
      <c r="F43" s="40" t="s">
        <v>87</v>
      </c>
      <c r="G43" s="41" t="s">
        <v>87</v>
      </c>
      <c r="H43">
        <v>37</v>
      </c>
    </row>
    <row r="44" spans="1:8">
      <c r="A44">
        <v>38</v>
      </c>
      <c r="B44" s="37" t="str">
        <f t="shared" si="1"/>
        <v>CRC ₡</v>
      </c>
      <c r="C44" s="38" t="s">
        <v>88</v>
      </c>
      <c r="D44" s="39">
        <f>VLOOKUP($C44,Table_1[#All],3,FALSE)</f>
        <v>599.92616099999998</v>
      </c>
      <c r="E44" s="39">
        <f>VLOOKUP($C44,Table_1[#All],4,FALSE)</f>
        <v>1.6670000000000001E-3</v>
      </c>
      <c r="F44" s="40" t="s">
        <v>90</v>
      </c>
      <c r="G44" s="41" t="s">
        <v>89</v>
      </c>
      <c r="H44">
        <v>38</v>
      </c>
    </row>
    <row r="45" spans="1:8">
      <c r="A45">
        <v>39</v>
      </c>
      <c r="B45" s="37" t="str">
        <f t="shared" si="1"/>
        <v>CUP ₱</v>
      </c>
      <c r="C45" s="38" t="s">
        <v>487</v>
      </c>
      <c r="D45" s="39">
        <f>VLOOKUP($C45,Table_1[#All],3,FALSE)</f>
        <v>31.712063000000001</v>
      </c>
      <c r="E45" s="39">
        <f>VLOOKUP($C45,Table_1[#All],4,FALSE)</f>
        <v>3.1534E-2</v>
      </c>
      <c r="F45" s="40" t="s">
        <v>488</v>
      </c>
      <c r="G45" s="41" t="s">
        <v>91</v>
      </c>
      <c r="H45">
        <v>39</v>
      </c>
    </row>
    <row r="46" spans="1:8">
      <c r="A46">
        <v>40</v>
      </c>
      <c r="B46" s="37" t="str">
        <f t="shared" si="1"/>
        <v>CZK Kč</v>
      </c>
      <c r="C46" s="38" t="s">
        <v>92</v>
      </c>
      <c r="D46" s="39">
        <f>VLOOKUP($C46,Table_1[#All],3,FALSE)</f>
        <v>28.121936999999999</v>
      </c>
      <c r="E46" s="39">
        <f>VLOOKUP($C46,Table_1[#All],4,FALSE)</f>
        <v>3.5559E-2</v>
      </c>
      <c r="F46" s="40" t="s">
        <v>94</v>
      </c>
      <c r="G46" s="41" t="s">
        <v>93</v>
      </c>
      <c r="H46">
        <v>40</v>
      </c>
    </row>
    <row r="47" spans="1:8">
      <c r="A47">
        <v>41</v>
      </c>
      <c r="B47" s="37" t="str">
        <f t="shared" si="1"/>
        <v>DKK kr</v>
      </c>
      <c r="C47" s="38" t="s">
        <v>95</v>
      </c>
      <c r="D47" s="39">
        <f>VLOOKUP($C47,Table_1[#All],3,FALSE)</f>
        <v>8.6633300000000002</v>
      </c>
      <c r="E47" s="39">
        <f>VLOOKUP($C47,Table_1[#All],4,FALSE)</f>
        <v>0.115429</v>
      </c>
      <c r="F47" s="40" t="s">
        <v>97</v>
      </c>
      <c r="G47" s="41" t="s">
        <v>96</v>
      </c>
      <c r="H47">
        <v>41</v>
      </c>
    </row>
    <row r="48" spans="1:8">
      <c r="A48">
        <v>42</v>
      </c>
      <c r="B48" s="37" t="str">
        <f t="shared" si="1"/>
        <v>DJF</v>
      </c>
      <c r="C48" s="38" t="s">
        <v>492</v>
      </c>
      <c r="D48" s="39">
        <f>VLOOKUP($C48,Table_1[#All],3,FALSE)</f>
        <v>234.82948099999999</v>
      </c>
      <c r="E48" s="39">
        <f>VLOOKUP($C48,Table_1[#All],4,FALSE)</f>
        <v>4.2579999999999996E-3</v>
      </c>
      <c r="F48" s="40" t="s">
        <v>98</v>
      </c>
      <c r="G48" s="41" t="s">
        <v>98</v>
      </c>
      <c r="H48">
        <v>42</v>
      </c>
    </row>
    <row r="49" spans="1:8">
      <c r="A49">
        <v>43</v>
      </c>
      <c r="B49" s="37" t="str">
        <f t="shared" si="1"/>
        <v>DOP RD$</v>
      </c>
      <c r="C49" s="38" t="s">
        <v>99</v>
      </c>
      <c r="D49" s="39">
        <f>VLOOKUP($C49,Table_1[#All],3,FALSE)</f>
        <v>78.735675999999998</v>
      </c>
      <c r="E49" s="39">
        <f>VLOOKUP($C49,Table_1[#All],4,FALSE)</f>
        <v>1.2701E-2</v>
      </c>
      <c r="F49" s="40" t="s">
        <v>101</v>
      </c>
      <c r="G49" s="41" t="s">
        <v>100</v>
      </c>
      <c r="H49">
        <v>43</v>
      </c>
    </row>
    <row r="50" spans="1:8">
      <c r="A50">
        <v>44</v>
      </c>
      <c r="B50" s="37" t="str">
        <f t="shared" si="1"/>
        <v>XCD $</v>
      </c>
      <c r="C50" s="38" t="s">
        <v>617</v>
      </c>
      <c r="D50" s="39">
        <f>VLOOKUP($C50,Table_1[#All],3,FALSE)</f>
        <v>3.5676420000000002</v>
      </c>
      <c r="E50" s="39">
        <f>VLOOKUP($C50,Table_1[#All],4,FALSE)</f>
        <v>0.28029700000000002</v>
      </c>
      <c r="F50" s="40" t="s">
        <v>618</v>
      </c>
      <c r="G50" s="41" t="s">
        <v>23</v>
      </c>
      <c r="H50">
        <v>44</v>
      </c>
    </row>
    <row r="51" spans="1:8">
      <c r="A51">
        <v>45</v>
      </c>
      <c r="B51" s="37" t="str">
        <f t="shared" si="1"/>
        <v>EGP £</v>
      </c>
      <c r="C51" s="38" t="s">
        <v>102</v>
      </c>
      <c r="D51" s="39">
        <f>VLOOKUP($C51,Table_1[#All],3,FALSE)</f>
        <v>65.425471000000002</v>
      </c>
      <c r="E51" s="39">
        <f>VLOOKUP($C51,Table_1[#All],4,FALSE)</f>
        <v>1.5285E-2</v>
      </c>
      <c r="F51" s="40" t="s">
        <v>103</v>
      </c>
      <c r="G51" s="41" t="s">
        <v>28</v>
      </c>
      <c r="H51">
        <v>45</v>
      </c>
    </row>
    <row r="52" spans="1:8">
      <c r="A52">
        <v>46</v>
      </c>
      <c r="B52" s="37" t="str">
        <f t="shared" si="1"/>
        <v>ERN</v>
      </c>
      <c r="C52" s="38" t="s">
        <v>494</v>
      </c>
      <c r="D52" s="39">
        <f>VLOOKUP($C52,Table_1[#All],3,FALSE)</f>
        <v>20.322102999999998</v>
      </c>
      <c r="E52" s="39">
        <f>VLOOKUP($C52,Table_1[#All],4,FALSE)</f>
        <v>4.9208000000000002E-2</v>
      </c>
      <c r="F52" s="40" t="s">
        <v>104</v>
      </c>
      <c r="G52" s="41" t="s">
        <v>104</v>
      </c>
      <c r="H52">
        <v>46</v>
      </c>
    </row>
    <row r="53" spans="1:8">
      <c r="A53">
        <v>47</v>
      </c>
      <c r="B53" s="37" t="str">
        <f t="shared" si="1"/>
        <v>ETB Br.</v>
      </c>
      <c r="C53" s="38" t="s">
        <v>496</v>
      </c>
      <c r="D53" s="39">
        <f>VLOOKUP($C53,Table_1[#All],3,FALSE)</f>
        <v>211.04137800000001</v>
      </c>
      <c r="E53" s="39">
        <f>VLOOKUP($C53,Table_1[#All],4,FALSE)</f>
        <v>4.738E-3</v>
      </c>
      <c r="F53" s="40" t="s">
        <v>497</v>
      </c>
      <c r="G53" s="41" t="s">
        <v>105</v>
      </c>
      <c r="H53">
        <v>47</v>
      </c>
    </row>
    <row r="54" spans="1:8">
      <c r="A54">
        <v>48</v>
      </c>
      <c r="B54" s="37" t="str">
        <f t="shared" si="1"/>
        <v>FJD $</v>
      </c>
      <c r="C54" s="38" t="s">
        <v>499</v>
      </c>
      <c r="D54" s="39">
        <f>VLOOKUP($C54,Table_1[#All],3,FALSE)</f>
        <v>2.994186</v>
      </c>
      <c r="E54" s="39">
        <f>VLOOKUP($C54,Table_1[#All],4,FALSE)</f>
        <v>0.33398099999999997</v>
      </c>
      <c r="F54" s="40" t="s">
        <v>500</v>
      </c>
      <c r="G54" s="41" t="s">
        <v>23</v>
      </c>
      <c r="H54">
        <v>48</v>
      </c>
    </row>
    <row r="55" spans="1:8">
      <c r="A55">
        <v>49</v>
      </c>
      <c r="B55" s="37" t="str">
        <f t="shared" si="1"/>
        <v>GMD D</v>
      </c>
      <c r="C55" s="38" t="s">
        <v>508</v>
      </c>
      <c r="D55" s="39">
        <f>VLOOKUP($C55,Table_1[#All],3,FALSE)</f>
        <v>95.614609999999999</v>
      </c>
      <c r="E55" s="39">
        <f>VLOOKUP($C55,Table_1[#All],4,FALSE)</f>
        <v>1.0459E-2</v>
      </c>
      <c r="F55" s="40" t="s">
        <v>509</v>
      </c>
      <c r="G55" s="41" t="s">
        <v>106</v>
      </c>
      <c r="H55">
        <v>49</v>
      </c>
    </row>
    <row r="56" spans="1:8">
      <c r="A56">
        <v>50</v>
      </c>
      <c r="B56" s="37" t="str">
        <f t="shared" si="1"/>
        <v>GEL</v>
      </c>
      <c r="C56" s="38" t="s">
        <v>108</v>
      </c>
      <c r="D56" s="39">
        <f>VLOOKUP($C56,Table_1[#All],3,FALSE)</f>
        <v>3.4942329999999999</v>
      </c>
      <c r="E56" s="39">
        <f>VLOOKUP($C56,Table_1[#All],4,FALSE)</f>
        <v>0.286186</v>
      </c>
      <c r="F56" s="40" t="s">
        <v>107</v>
      </c>
      <c r="G56" s="41" t="s">
        <v>107</v>
      </c>
      <c r="H56">
        <v>50</v>
      </c>
    </row>
    <row r="57" spans="1:8">
      <c r="A57">
        <v>51</v>
      </c>
      <c r="B57" s="37" t="str">
        <f t="shared" si="1"/>
        <v>GHS ¢</v>
      </c>
      <c r="C57" s="38" t="s">
        <v>502</v>
      </c>
      <c r="D57" s="39">
        <f>VLOOKUP($C57,Table_1[#All],3,FALSE)</f>
        <v>14.877053999999999</v>
      </c>
      <c r="E57" s="39">
        <f>VLOOKUP($C57,Table_1[#All],4,FALSE)</f>
        <v>6.7218E-2</v>
      </c>
      <c r="F57" s="40" t="s">
        <v>503</v>
      </c>
      <c r="G57" s="41" t="s">
        <v>109</v>
      </c>
      <c r="H57">
        <v>51</v>
      </c>
    </row>
    <row r="58" spans="1:8">
      <c r="A58">
        <v>52</v>
      </c>
      <c r="B58" s="37" t="str">
        <f t="shared" si="1"/>
        <v>GIP £</v>
      </c>
      <c r="C58" s="38" t="s">
        <v>505</v>
      </c>
      <c r="D58" s="39">
        <f>VLOOKUP($C58,Table_1[#All],3,FALSE)</f>
        <v>0.99964200000000003</v>
      </c>
      <c r="E58" s="39">
        <f>VLOOKUP($C58,Table_1[#All],4,FALSE)</f>
        <v>1.0003580000000001</v>
      </c>
      <c r="F58" s="40" t="s">
        <v>506</v>
      </c>
      <c r="G58" s="41" t="s">
        <v>28</v>
      </c>
      <c r="H58">
        <v>52</v>
      </c>
    </row>
    <row r="59" spans="1:8">
      <c r="A59">
        <v>53</v>
      </c>
      <c r="B59" s="37" t="str">
        <f t="shared" si="1"/>
        <v>GTQ Q</v>
      </c>
      <c r="C59" s="38" t="s">
        <v>514</v>
      </c>
      <c r="D59" s="39">
        <f>VLOOKUP($C59,Table_1[#All],3,FALSE)</f>
        <v>10.076041</v>
      </c>
      <c r="E59" s="39">
        <f>VLOOKUP($C59,Table_1[#All],4,FALSE)</f>
        <v>9.9245E-2</v>
      </c>
      <c r="F59" s="40" t="s">
        <v>515</v>
      </c>
      <c r="G59" s="41" t="s">
        <v>110</v>
      </c>
      <c r="H59">
        <v>53</v>
      </c>
    </row>
    <row r="60" spans="1:8">
      <c r="A60">
        <v>54</v>
      </c>
      <c r="B60" s="37" t="str">
        <f t="shared" si="1"/>
        <v>GNF GFr</v>
      </c>
      <c r="C60" s="38" t="s">
        <v>511</v>
      </c>
      <c r="D60" s="39">
        <f>VLOOKUP($C60,Table_1[#All],3,FALSE)</f>
        <v>11539.436110000001</v>
      </c>
      <c r="E60" s="39">
        <f>VLOOKUP($C60,Table_1[#All],4,FALSE)</f>
        <v>8.7000000000000001E-5</v>
      </c>
      <c r="F60" s="40" t="s">
        <v>512</v>
      </c>
      <c r="G60" s="41" t="s">
        <v>111</v>
      </c>
      <c r="H60">
        <v>54</v>
      </c>
    </row>
    <row r="61" spans="1:8">
      <c r="A61">
        <v>55</v>
      </c>
      <c r="B61" s="37" t="str">
        <f t="shared" si="1"/>
        <v>GYD $</v>
      </c>
      <c r="C61" s="38" t="s">
        <v>517</v>
      </c>
      <c r="D61" s="39">
        <f>VLOOKUP($C61,Table_1[#All],3,FALSE)</f>
        <v>276.449884</v>
      </c>
      <c r="E61" s="39">
        <f>VLOOKUP($C61,Table_1[#All],4,FALSE)</f>
        <v>3.617E-3</v>
      </c>
      <c r="F61" s="40" t="s">
        <v>518</v>
      </c>
      <c r="G61" s="41" t="s">
        <v>23</v>
      </c>
      <c r="H61">
        <v>55</v>
      </c>
    </row>
    <row r="62" spans="1:8">
      <c r="A62">
        <v>56</v>
      </c>
      <c r="B62" s="37" t="str">
        <f t="shared" si="1"/>
        <v>HTG</v>
      </c>
      <c r="C62" s="38" t="s">
        <v>113</v>
      </c>
      <c r="D62" s="39">
        <f>VLOOKUP($C62,Table_1[#All],3,FALSE)</f>
        <v>172.51019700000001</v>
      </c>
      <c r="E62" s="39">
        <f>VLOOKUP($C62,Table_1[#All],4,FALSE)</f>
        <v>5.7970000000000001E-3</v>
      </c>
      <c r="F62" s="40" t="s">
        <v>112</v>
      </c>
      <c r="G62" s="41" t="s">
        <v>112</v>
      </c>
      <c r="H62">
        <v>56</v>
      </c>
    </row>
    <row r="63" spans="1:8">
      <c r="A63">
        <v>57</v>
      </c>
      <c r="B63" s="37" t="str">
        <f t="shared" si="1"/>
        <v>HNL L</v>
      </c>
      <c r="C63" s="38" t="s">
        <v>520</v>
      </c>
      <c r="D63" s="39">
        <f>VLOOKUP($C63,Table_1[#All],3,FALSE)</f>
        <v>35.346344999999999</v>
      </c>
      <c r="E63" s="39">
        <f>VLOOKUP($C63,Table_1[#All],4,FALSE)</f>
        <v>2.8291E-2</v>
      </c>
      <c r="F63" s="40" t="s">
        <v>521</v>
      </c>
      <c r="G63" s="41" t="s">
        <v>41</v>
      </c>
      <c r="H63">
        <v>57</v>
      </c>
    </row>
    <row r="64" spans="1:8">
      <c r="A64">
        <v>58</v>
      </c>
      <c r="B64" s="37" t="str">
        <f t="shared" si="1"/>
        <v>HKD $</v>
      </c>
      <c r="C64" s="38" t="s">
        <v>114</v>
      </c>
      <c r="D64" s="39">
        <f>VLOOKUP($C64,Table_1[#All],3,FALSE)</f>
        <v>10.361727</v>
      </c>
      <c r="E64" s="39">
        <f>VLOOKUP($C64,Table_1[#All],4,FALSE)</f>
        <v>9.6508999999999998E-2</v>
      </c>
      <c r="F64" s="40" t="s">
        <v>115</v>
      </c>
      <c r="G64" s="41" t="s">
        <v>23</v>
      </c>
      <c r="H64">
        <v>58</v>
      </c>
    </row>
    <row r="65" spans="1:11">
      <c r="A65">
        <v>59</v>
      </c>
      <c r="B65" s="37" t="str">
        <f t="shared" si="1"/>
        <v>HUF Ft</v>
      </c>
      <c r="C65" s="38" t="s">
        <v>116</v>
      </c>
      <c r="D65" s="39">
        <f>VLOOKUP($C65,Table_1[#All],3,FALSE)</f>
        <v>410.384162</v>
      </c>
      <c r="E65" s="39">
        <f>VLOOKUP($C65,Table_1[#All],4,FALSE)</f>
        <v>2.4369999999999999E-3</v>
      </c>
      <c r="F65" s="40" t="s">
        <v>118</v>
      </c>
      <c r="G65" s="41" t="s">
        <v>117</v>
      </c>
      <c r="H65">
        <v>59</v>
      </c>
    </row>
    <row r="66" spans="1:11">
      <c r="A66">
        <v>60</v>
      </c>
      <c r="B66" s="37" t="str">
        <f t="shared" si="1"/>
        <v>ISK kr</v>
      </c>
      <c r="C66" s="38" t="s">
        <v>119</v>
      </c>
      <c r="D66" s="39">
        <f>VLOOKUP($C66,Table_1[#All],3,FALSE)</f>
        <v>166.88385600000001</v>
      </c>
      <c r="E66" s="39">
        <f>VLOOKUP($C66,Table_1[#All],4,FALSE)</f>
        <v>5.9919999999999999E-3</v>
      </c>
      <c r="F66" s="40" t="s">
        <v>120</v>
      </c>
      <c r="G66" s="41" t="s">
        <v>96</v>
      </c>
      <c r="H66">
        <v>60</v>
      </c>
      <c r="J66" s="406"/>
      <c r="K66" s="405"/>
    </row>
    <row r="67" spans="1:11">
      <c r="A67">
        <v>61</v>
      </c>
      <c r="B67" s="37" t="str">
        <f t="shared" si="1"/>
        <v>INR ₹</v>
      </c>
      <c r="C67" s="38" t="s">
        <v>121</v>
      </c>
      <c r="D67" s="39">
        <f>VLOOKUP($C67,Table_1[#All],3,FALSE)</f>
        <v>124.74066999999999</v>
      </c>
      <c r="E67" s="39">
        <f>VLOOKUP($C67,Table_1[#All],4,FALSE)</f>
        <v>8.0169999999999998E-3</v>
      </c>
      <c r="F67" s="40" t="s">
        <v>123</v>
      </c>
      <c r="G67" s="41" t="s">
        <v>122</v>
      </c>
      <c r="H67">
        <v>61</v>
      </c>
      <c r="J67" s="406"/>
    </row>
    <row r="68" spans="1:11">
      <c r="A68">
        <v>62</v>
      </c>
      <c r="B68" s="37" t="str">
        <f t="shared" si="1"/>
        <v>IDR Rp</v>
      </c>
      <c r="C68" s="38" t="s">
        <v>124</v>
      </c>
      <c r="D68" s="39">
        <f>VLOOKUP($C68,Table_1[#All],3,FALSE)</f>
        <v>23655.289764000001</v>
      </c>
      <c r="E68" s="39">
        <f>VLOOKUP($C68,Table_1[#All],4,FALSE)</f>
        <v>4.1999999999999998E-5</v>
      </c>
      <c r="F68" s="40" t="s">
        <v>126</v>
      </c>
      <c r="G68" s="41" t="s">
        <v>125</v>
      </c>
      <c r="H68">
        <v>62</v>
      </c>
    </row>
    <row r="69" spans="1:11">
      <c r="A69">
        <v>63</v>
      </c>
      <c r="B69" s="37" t="str">
        <f t="shared" si="1"/>
        <v>IQD ع.د</v>
      </c>
      <c r="C69" s="38" t="s">
        <v>128</v>
      </c>
      <c r="D69" s="39">
        <f>VLOOKUP($C69,Table_1[#All],3,FALSE)</f>
        <v>1730.950104</v>
      </c>
      <c r="E69" s="39">
        <f>VLOOKUP($C69,Table_1[#All],4,FALSE)</f>
        <v>5.7799999999999995E-4</v>
      </c>
      <c r="F69" s="40" t="s">
        <v>130</v>
      </c>
      <c r="G69" s="41" t="s">
        <v>129</v>
      </c>
      <c r="H69">
        <v>63</v>
      </c>
    </row>
    <row r="70" spans="1:11">
      <c r="A70">
        <v>64</v>
      </c>
      <c r="B70" s="37" t="str">
        <f t="shared" si="1"/>
        <v>ILS ₪</v>
      </c>
      <c r="C70" s="38" t="s">
        <v>131</v>
      </c>
      <c r="D70" s="39">
        <f>VLOOKUP($C70,Table_1[#All],3,FALSE)</f>
        <v>3.9613849999999999</v>
      </c>
      <c r="E70" s="39">
        <f>VLOOKUP($C70,Table_1[#All],4,FALSE)</f>
        <v>0.25243700000000002</v>
      </c>
      <c r="F70" s="40" t="s">
        <v>133</v>
      </c>
      <c r="G70" s="41" t="s">
        <v>132</v>
      </c>
      <c r="H70">
        <v>64</v>
      </c>
    </row>
    <row r="71" spans="1:11">
      <c r="A71">
        <v>65</v>
      </c>
      <c r="B71" s="37" t="str">
        <f t="shared" ref="B71:B102" si="2">IF(F71&amp;" "&amp;G71=F71&amp;" "&amp;F71,G71,F71&amp;" "&amp;G71)</f>
        <v>JMD J$</v>
      </c>
      <c r="C71" s="38" t="s">
        <v>523</v>
      </c>
      <c r="D71" s="39">
        <f>VLOOKUP($C71,Table_1[#All],3,FALSE)</f>
        <v>207.613043</v>
      </c>
      <c r="E71" s="39">
        <f>VLOOKUP($C71,Table_1[#All],4,FALSE)</f>
        <v>4.8170000000000001E-3</v>
      </c>
      <c r="F71" s="40" t="s">
        <v>524</v>
      </c>
      <c r="G71" s="41" t="s">
        <v>134</v>
      </c>
      <c r="H71">
        <v>65</v>
      </c>
    </row>
    <row r="72" spans="1:11">
      <c r="A72">
        <v>66</v>
      </c>
      <c r="B72" s="37" t="str">
        <f t="shared" si="2"/>
        <v>JOD</v>
      </c>
      <c r="C72" s="38" t="s">
        <v>136</v>
      </c>
      <c r="D72" s="39">
        <f>VLOOKUP($C72,Table_1[#All],3,FALSE)</f>
        <v>0.93680099999999999</v>
      </c>
      <c r="E72" s="39">
        <f>VLOOKUP($C72,Table_1[#All],4,FALSE)</f>
        <v>1.0674619999999999</v>
      </c>
      <c r="F72" s="40" t="s">
        <v>135</v>
      </c>
      <c r="G72" s="41" t="s">
        <v>135</v>
      </c>
      <c r="H72">
        <v>66</v>
      </c>
    </row>
    <row r="73" spans="1:11">
      <c r="A73">
        <v>67</v>
      </c>
      <c r="B73" s="37" t="str">
        <f t="shared" si="2"/>
        <v>KZT лв</v>
      </c>
      <c r="C73" s="38" t="s">
        <v>137</v>
      </c>
      <c r="D73" s="39">
        <f>VLOOKUP($C73,Table_1[#All],3,FALSE)</f>
        <v>641.53484600000002</v>
      </c>
      <c r="E73" s="39">
        <f>VLOOKUP($C73,Table_1[#All],4,FALSE)</f>
        <v>1.5590000000000001E-3</v>
      </c>
      <c r="F73" s="40" t="s">
        <v>138</v>
      </c>
      <c r="G73" s="41" t="s">
        <v>73</v>
      </c>
      <c r="H73">
        <v>67</v>
      </c>
    </row>
    <row r="74" spans="1:11">
      <c r="A74">
        <v>68</v>
      </c>
      <c r="B74" s="37" t="str">
        <f t="shared" si="2"/>
        <v>KES K</v>
      </c>
      <c r="C74" s="38" t="s">
        <v>526</v>
      </c>
      <c r="D74" s="39">
        <f>VLOOKUP($C74,Table_1[#All],3,FALSE)</f>
        <v>171.155946</v>
      </c>
      <c r="E74" s="39">
        <f>VLOOKUP($C74,Table_1[#All],4,FALSE)</f>
        <v>5.8430000000000001E-3</v>
      </c>
      <c r="F74" s="40" t="s">
        <v>527</v>
      </c>
      <c r="G74" s="41" t="s">
        <v>139</v>
      </c>
      <c r="H74">
        <v>68</v>
      </c>
    </row>
    <row r="75" spans="1:11">
      <c r="A75">
        <v>69</v>
      </c>
      <c r="B75" s="37" t="str">
        <f t="shared" si="2"/>
        <v>KWD د.ك </v>
      </c>
      <c r="C75" s="38" t="s">
        <v>140</v>
      </c>
      <c r="D75" s="39">
        <f>VLOOKUP($C75,Table_1[#All],3,FALSE)</f>
        <v>0.40807199999999999</v>
      </c>
      <c r="E75" s="39">
        <f>VLOOKUP($C75,Table_1[#All],4,FALSE)</f>
        <v>2.4505509999999999</v>
      </c>
      <c r="F75" s="40" t="s">
        <v>142</v>
      </c>
      <c r="G75" s="41" t="s">
        <v>141</v>
      </c>
      <c r="H75">
        <v>69</v>
      </c>
    </row>
    <row r="76" spans="1:11">
      <c r="A76">
        <v>70</v>
      </c>
      <c r="B76" s="37" t="str">
        <f t="shared" si="2"/>
        <v>KGS лв</v>
      </c>
      <c r="C76" s="38" t="s">
        <v>143</v>
      </c>
      <c r="D76" s="39">
        <f>VLOOKUP($C76,Table_1[#All],3,FALSE)</f>
        <v>115.550777</v>
      </c>
      <c r="E76" s="39">
        <f>VLOOKUP($C76,Table_1[#All],4,FALSE)</f>
        <v>8.6540000000000002E-3</v>
      </c>
      <c r="F76" s="40" t="s">
        <v>144</v>
      </c>
      <c r="G76" s="41" t="s">
        <v>73</v>
      </c>
      <c r="H76">
        <v>70</v>
      </c>
    </row>
    <row r="77" spans="1:11">
      <c r="A77">
        <v>71</v>
      </c>
      <c r="B77" s="37" t="str">
        <f t="shared" si="2"/>
        <v>LBP £</v>
      </c>
      <c r="C77" s="38" t="s">
        <v>145</v>
      </c>
      <c r="D77" s="39">
        <f>VLOOKUP($C77,Table_1[#All],3,FALSE)</f>
        <v>118259.56819799999</v>
      </c>
      <c r="E77" s="39">
        <f>VLOOKUP($C77,Table_1[#All],4,FALSE)</f>
        <v>7.9999999999999996E-6</v>
      </c>
      <c r="F77" s="40" t="s">
        <v>146</v>
      </c>
      <c r="G77" s="41" t="s">
        <v>28</v>
      </c>
      <c r="H77">
        <v>71</v>
      </c>
    </row>
    <row r="78" spans="1:11">
      <c r="A78">
        <v>72</v>
      </c>
      <c r="B78" s="37" t="str">
        <f t="shared" si="2"/>
        <v>LSL</v>
      </c>
      <c r="C78" s="38" t="s">
        <v>537</v>
      </c>
      <c r="D78" s="39">
        <f>VLOOKUP($C78,Table_1[#All],3,FALSE)</f>
        <v>21.749832000000001</v>
      </c>
      <c r="E78" s="39">
        <f>VLOOKUP($C78,Table_1[#All],4,FALSE)</f>
        <v>4.5976999999999997E-2</v>
      </c>
      <c r="F78" s="40" t="s">
        <v>147</v>
      </c>
      <c r="G78" s="41" t="s">
        <v>147</v>
      </c>
      <c r="H78">
        <v>72</v>
      </c>
    </row>
    <row r="79" spans="1:11">
      <c r="A79">
        <v>73</v>
      </c>
      <c r="B79" s="37" t="str">
        <f t="shared" si="2"/>
        <v>LRD $</v>
      </c>
      <c r="C79" s="38" t="s">
        <v>534</v>
      </c>
      <c r="D79" s="39">
        <f>VLOOKUP($C79,Table_1[#All],3,FALSE)</f>
        <v>240.469932</v>
      </c>
      <c r="E79" s="39">
        <f>VLOOKUP($C79,Table_1[#All],4,FALSE)</f>
        <v>4.1590000000000004E-3</v>
      </c>
      <c r="F79" s="40" t="s">
        <v>535</v>
      </c>
      <c r="G79" s="41" t="s">
        <v>23</v>
      </c>
      <c r="H79">
        <v>73</v>
      </c>
    </row>
    <row r="80" spans="1:11">
      <c r="A80">
        <v>74</v>
      </c>
      <c r="B80" s="37" t="str">
        <f t="shared" si="2"/>
        <v>LYD ل.د</v>
      </c>
      <c r="C80" s="38" t="s">
        <v>148</v>
      </c>
      <c r="D80" s="39">
        <f>VLOOKUP($C80,Table_1[#All],3,FALSE)</f>
        <v>8.4731930000000002</v>
      </c>
      <c r="E80" s="39">
        <f>VLOOKUP($C80,Table_1[#All],4,FALSE)</f>
        <v>0.118019</v>
      </c>
      <c r="F80" s="40" t="s">
        <v>150</v>
      </c>
      <c r="G80" s="41" t="s">
        <v>149</v>
      </c>
      <c r="H80">
        <v>74</v>
      </c>
    </row>
    <row r="81" spans="1:8">
      <c r="A81">
        <v>75</v>
      </c>
      <c r="B81" s="37" t="str">
        <f t="shared" si="2"/>
        <v>MOP $</v>
      </c>
      <c r="C81" s="38" t="s">
        <v>550</v>
      </c>
      <c r="D81" s="39">
        <f>VLOOKUP($C81,Table_1[#All],3,FALSE)</f>
        <v>10.672908</v>
      </c>
      <c r="E81" s="39">
        <f>VLOOKUP($C81,Table_1[#All],4,FALSE)</f>
        <v>9.3695000000000001E-2</v>
      </c>
      <c r="F81" s="40" t="s">
        <v>551</v>
      </c>
      <c r="G81" s="41" t="s">
        <v>23</v>
      </c>
      <c r="H81">
        <v>75</v>
      </c>
    </row>
    <row r="82" spans="1:8">
      <c r="A82">
        <v>76</v>
      </c>
      <c r="B82" s="37" t="str">
        <f t="shared" si="2"/>
        <v>MKD ден</v>
      </c>
      <c r="C82" s="38" t="s">
        <v>542</v>
      </c>
      <c r="D82" s="39">
        <f>VLOOKUP($C82,Table_1[#All],3,FALSE)</f>
        <v>71.572461000000004</v>
      </c>
      <c r="E82" s="39">
        <f>VLOOKUP($C82,Table_1[#All],4,FALSE)</f>
        <v>1.3972E-2</v>
      </c>
      <c r="F82" s="40" t="s">
        <v>543</v>
      </c>
      <c r="G82" s="41" t="s">
        <v>151</v>
      </c>
      <c r="H82">
        <v>76</v>
      </c>
    </row>
    <row r="83" spans="1:8">
      <c r="A83">
        <v>77</v>
      </c>
      <c r="B83" s="37" t="str">
        <f t="shared" si="2"/>
        <v>MGA Ar</v>
      </c>
      <c r="C83" s="38" t="s">
        <v>539</v>
      </c>
      <c r="D83" s="39">
        <f>VLOOKUP($C83,Table_1[#All],3,FALSE)</f>
        <v>5613.9219880000001</v>
      </c>
      <c r="E83" s="39">
        <f>VLOOKUP($C83,Table_1[#All],4,FALSE)</f>
        <v>1.7799999999999999E-4</v>
      </c>
      <c r="F83" s="40" t="s">
        <v>540</v>
      </c>
      <c r="G83" s="41" t="s">
        <v>152</v>
      </c>
      <c r="H83">
        <v>77</v>
      </c>
    </row>
    <row r="84" spans="1:8">
      <c r="A84">
        <v>78</v>
      </c>
      <c r="B84" s="37" t="str">
        <f t="shared" si="2"/>
        <v>MWK MK</v>
      </c>
      <c r="C84" s="38" t="s">
        <v>561</v>
      </c>
      <c r="D84" s="39">
        <f>VLOOKUP($C84,Table_1[#All],3,FALSE)</f>
        <v>2289.8159909999999</v>
      </c>
      <c r="E84" s="39">
        <f>VLOOKUP($C84,Table_1[#All],4,FALSE)</f>
        <v>4.37E-4</v>
      </c>
      <c r="F84" s="40" t="s">
        <v>562</v>
      </c>
      <c r="G84" s="41" t="s">
        <v>153</v>
      </c>
      <c r="H84">
        <v>78</v>
      </c>
    </row>
    <row r="85" spans="1:8">
      <c r="A85">
        <v>79</v>
      </c>
      <c r="B85" s="37" t="str">
        <f t="shared" si="2"/>
        <v>MYR RM</v>
      </c>
      <c r="C85" s="38" t="s">
        <v>154</v>
      </c>
      <c r="D85" s="39">
        <f>VLOOKUP($C85,Table_1[#All],3,FALSE)</f>
        <v>5.4087160000000001</v>
      </c>
      <c r="E85" s="39">
        <f>VLOOKUP($C85,Table_1[#All],4,FALSE)</f>
        <v>0.184887</v>
      </c>
      <c r="F85" s="40" t="s">
        <v>156</v>
      </c>
      <c r="G85" s="41" t="s">
        <v>155</v>
      </c>
      <c r="H85">
        <v>79</v>
      </c>
    </row>
    <row r="86" spans="1:8">
      <c r="A86">
        <v>80</v>
      </c>
      <c r="B86" s="37" t="str">
        <f t="shared" si="2"/>
        <v>MVR .ރ</v>
      </c>
      <c r="C86" s="38" t="s">
        <v>558</v>
      </c>
      <c r="D86" s="39">
        <f>VLOOKUP($C86,Table_1[#All],3,FALSE)</f>
        <v>20.374952</v>
      </c>
      <c r="E86" s="39">
        <f>VLOOKUP($C86,Table_1[#All],4,FALSE)</f>
        <v>4.9079999999999999E-2</v>
      </c>
      <c r="F86" s="40" t="s">
        <v>559</v>
      </c>
      <c r="G86" s="41" t="s">
        <v>157</v>
      </c>
      <c r="H86">
        <v>80</v>
      </c>
    </row>
    <row r="87" spans="1:8">
      <c r="A87">
        <v>81</v>
      </c>
      <c r="B87" s="37" t="str">
        <f t="shared" si="2"/>
        <v>MRO</v>
      </c>
      <c r="C87" s="38" t="s">
        <v>553</v>
      </c>
      <c r="D87" s="39">
        <f>VLOOKUP($C87,Table_1[#All],3,FALSE)</f>
        <v>52.721316000000002</v>
      </c>
      <c r="E87" s="39">
        <f>VLOOKUP($C87,Table_1[#All],4,FALSE)</f>
        <v>1.8967999999999999E-2</v>
      </c>
      <c r="F87" s="40" t="s">
        <v>158</v>
      </c>
      <c r="G87" s="41" t="s">
        <v>158</v>
      </c>
      <c r="H87">
        <v>81</v>
      </c>
    </row>
    <row r="88" spans="1:8">
      <c r="A88">
        <v>82</v>
      </c>
      <c r="B88" s="37" t="str">
        <f t="shared" si="2"/>
        <v>MRU</v>
      </c>
      <c r="C88" s="38" t="s">
        <v>553</v>
      </c>
      <c r="D88" s="39">
        <f>VLOOKUP($C88,Table_1[#All],3,FALSE)</f>
        <v>52.721316000000002</v>
      </c>
      <c r="E88" s="39">
        <f>VLOOKUP($C88,Table_1[#All],4,FALSE)</f>
        <v>1.8967999999999999E-2</v>
      </c>
      <c r="F88" s="40" t="s">
        <v>159</v>
      </c>
      <c r="G88" s="41" t="s">
        <v>159</v>
      </c>
      <c r="H88">
        <v>82</v>
      </c>
    </row>
    <row r="89" spans="1:8">
      <c r="A89">
        <v>83</v>
      </c>
      <c r="B89" s="37" t="str">
        <f t="shared" si="2"/>
        <v>MUR ₨</v>
      </c>
      <c r="C89" s="38" t="s">
        <v>555</v>
      </c>
      <c r="D89" s="39">
        <f>VLOOKUP($C89,Table_1[#All],3,FALSE)</f>
        <v>63.243675000000003</v>
      </c>
      <c r="E89" s="39">
        <f>VLOOKUP($C89,Table_1[#All],4,FALSE)</f>
        <v>1.5812E-2</v>
      </c>
      <c r="F89" s="40" t="s">
        <v>556</v>
      </c>
      <c r="G89" s="41" t="s">
        <v>160</v>
      </c>
      <c r="H89">
        <v>83</v>
      </c>
    </row>
    <row r="90" spans="1:8">
      <c r="A90">
        <v>84</v>
      </c>
      <c r="B90" s="37" t="str">
        <f t="shared" si="2"/>
        <v>MXN $</v>
      </c>
      <c r="C90" s="38" t="s">
        <v>161</v>
      </c>
      <c r="D90" s="39">
        <f>VLOOKUP($C90,Table_1[#All],3,FALSE)</f>
        <v>23.144943999999999</v>
      </c>
      <c r="E90" s="39">
        <f>VLOOKUP($C90,Table_1[#All],4,FALSE)</f>
        <v>4.3206000000000001E-2</v>
      </c>
      <c r="F90" s="40" t="s">
        <v>162</v>
      </c>
      <c r="G90" s="41" t="s">
        <v>23</v>
      </c>
      <c r="H90">
        <v>84</v>
      </c>
    </row>
    <row r="91" spans="1:8">
      <c r="A91">
        <v>85</v>
      </c>
      <c r="B91" s="37" t="str">
        <f t="shared" si="2"/>
        <v>MDL</v>
      </c>
      <c r="C91" s="38" t="s">
        <v>164</v>
      </c>
      <c r="D91" s="39">
        <f>VLOOKUP($C91,Table_1[#All],3,FALSE)</f>
        <v>23.340115000000001</v>
      </c>
      <c r="E91" s="39">
        <f>VLOOKUP($C91,Table_1[#All],4,FALSE)</f>
        <v>4.2845000000000001E-2</v>
      </c>
      <c r="F91" s="40" t="s">
        <v>163</v>
      </c>
      <c r="G91" s="41" t="s">
        <v>163</v>
      </c>
      <c r="H91">
        <v>85</v>
      </c>
    </row>
    <row r="92" spans="1:8">
      <c r="A92">
        <v>86</v>
      </c>
      <c r="B92" s="37" t="str">
        <f t="shared" si="2"/>
        <v>MNT ₮</v>
      </c>
      <c r="C92" s="38" t="s">
        <v>547</v>
      </c>
      <c r="D92" s="39">
        <f>VLOOKUP($C92,Table_1[#All],3,FALSE)</f>
        <v>4728.345268</v>
      </c>
      <c r="E92" s="39">
        <f>VLOOKUP($C92,Table_1[#All],4,FALSE)</f>
        <v>2.1100000000000001E-4</v>
      </c>
      <c r="F92" s="40" t="s">
        <v>548</v>
      </c>
      <c r="G92" s="41" t="s">
        <v>165</v>
      </c>
      <c r="H92">
        <v>86</v>
      </c>
    </row>
    <row r="93" spans="1:8">
      <c r="A93">
        <v>87</v>
      </c>
      <c r="B93" s="37" t="str">
        <f t="shared" si="2"/>
        <v>MAD</v>
      </c>
      <c r="C93" s="38" t="s">
        <v>167</v>
      </c>
      <c r="D93" s="39">
        <f>VLOOKUP($C93,Table_1[#All],3,FALSE)</f>
        <v>12.41831</v>
      </c>
      <c r="E93" s="39">
        <f>VLOOKUP($C93,Table_1[#All],4,FALSE)</f>
        <v>8.0526E-2</v>
      </c>
      <c r="F93" s="40" t="s">
        <v>166</v>
      </c>
      <c r="G93" s="41" t="s">
        <v>166</v>
      </c>
      <c r="H93">
        <v>87</v>
      </c>
    </row>
    <row r="94" spans="1:8">
      <c r="A94">
        <v>88</v>
      </c>
      <c r="B94" s="37" t="str">
        <f t="shared" si="2"/>
        <v>MZN MT</v>
      </c>
      <c r="C94" s="38" t="s">
        <v>564</v>
      </c>
      <c r="D94" s="39">
        <f>VLOOKUP($C94,Table_1[#All],3,FALSE)</f>
        <v>84.256753000000003</v>
      </c>
      <c r="E94" s="39">
        <f>VLOOKUP($C94,Table_1[#All],4,FALSE)</f>
        <v>1.1868E-2</v>
      </c>
      <c r="F94" s="40" t="s">
        <v>565</v>
      </c>
      <c r="G94" s="41" t="s">
        <v>168</v>
      </c>
      <c r="H94">
        <v>88</v>
      </c>
    </row>
    <row r="95" spans="1:8">
      <c r="A95">
        <v>89</v>
      </c>
      <c r="B95" s="37" t="str">
        <f t="shared" si="2"/>
        <v>MMK</v>
      </c>
      <c r="C95" s="38" t="s">
        <v>545</v>
      </c>
      <c r="D95" s="39">
        <f>VLOOKUP($C95,Table_1[#All],3,FALSE)</f>
        <v>2774.793921</v>
      </c>
      <c r="E95" s="39">
        <f>VLOOKUP($C95,Table_1[#All],4,FALSE)</f>
        <v>3.6000000000000002E-4</v>
      </c>
      <c r="F95" s="40" t="s">
        <v>169</v>
      </c>
      <c r="G95" s="41" t="s">
        <v>169</v>
      </c>
      <c r="H95">
        <v>89</v>
      </c>
    </row>
    <row r="96" spans="1:8">
      <c r="A96">
        <v>90</v>
      </c>
      <c r="B96" s="37" t="str">
        <f t="shared" si="2"/>
        <v>NAD $</v>
      </c>
      <c r="C96" s="38" t="s">
        <v>567</v>
      </c>
      <c r="D96" s="39">
        <f>VLOOKUP($C96,Table_1[#All],3,FALSE)</f>
        <v>21.749832000000001</v>
      </c>
      <c r="E96" s="39">
        <f>VLOOKUP($C96,Table_1[#All],4,FALSE)</f>
        <v>4.5976999999999997E-2</v>
      </c>
      <c r="F96" s="40" t="s">
        <v>568</v>
      </c>
      <c r="G96" s="41" t="s">
        <v>23</v>
      </c>
      <c r="H96">
        <v>90</v>
      </c>
    </row>
    <row r="97" spans="1:8">
      <c r="A97">
        <v>91</v>
      </c>
      <c r="B97" s="37" t="str">
        <f t="shared" si="2"/>
        <v>NPR ₨</v>
      </c>
      <c r="C97" s="38" t="s">
        <v>170</v>
      </c>
      <c r="D97" s="39">
        <f>VLOOKUP($C97,Table_1[#All],3,FALSE)</f>
        <v>199.583966</v>
      </c>
      <c r="E97" s="39">
        <f>VLOOKUP($C97,Table_1[#All],4,FALSE)</f>
        <v>5.0099999999999997E-3</v>
      </c>
      <c r="F97" s="40" t="s">
        <v>171</v>
      </c>
      <c r="G97" s="41" t="s">
        <v>160</v>
      </c>
      <c r="H97">
        <v>91</v>
      </c>
    </row>
    <row r="98" spans="1:8">
      <c r="A98">
        <v>92</v>
      </c>
      <c r="B98" s="37" t="str">
        <f t="shared" si="2"/>
        <v>TWD NT$</v>
      </c>
      <c r="C98" s="38" t="s">
        <v>172</v>
      </c>
      <c r="D98" s="39">
        <f>VLOOKUP($C98,Table_1[#All],3,FALSE)</f>
        <v>42.064869000000002</v>
      </c>
      <c r="E98" s="39">
        <f>VLOOKUP($C98,Table_1[#All],4,FALSE)</f>
        <v>2.3772999999999999E-2</v>
      </c>
      <c r="F98" s="40" t="s">
        <v>174</v>
      </c>
      <c r="G98" s="41" t="s">
        <v>173</v>
      </c>
      <c r="H98">
        <v>92</v>
      </c>
    </row>
    <row r="99" spans="1:8">
      <c r="A99">
        <v>93</v>
      </c>
      <c r="B99" s="37" t="str">
        <f t="shared" si="2"/>
        <v>TMT</v>
      </c>
      <c r="C99" s="38" t="s">
        <v>176</v>
      </c>
      <c r="D99" s="39">
        <f>VLOOKUP($C99,Table_1[#All],3,FALSE)</f>
        <v>4.6247340000000001</v>
      </c>
      <c r="E99" s="39">
        <f>VLOOKUP($C99,Table_1[#All],4,FALSE)</f>
        <v>0.216229</v>
      </c>
      <c r="F99" s="40" t="s">
        <v>175</v>
      </c>
      <c r="G99" s="41" t="s">
        <v>175</v>
      </c>
      <c r="H99">
        <v>93</v>
      </c>
    </row>
    <row r="100" spans="1:8">
      <c r="A100">
        <v>94</v>
      </c>
      <c r="B100" s="37" t="str">
        <f t="shared" si="2"/>
        <v>NZD $</v>
      </c>
      <c r="C100" s="38" t="s">
        <v>177</v>
      </c>
      <c r="D100" s="39">
        <f>VLOOKUP($C100,Table_1[#All],3,FALSE)</f>
        <v>2.3393169999999999</v>
      </c>
      <c r="E100" s="39">
        <f>VLOOKUP($C100,Table_1[#All],4,FALSE)</f>
        <v>0.42747499999999999</v>
      </c>
      <c r="F100" s="40" t="s">
        <v>178</v>
      </c>
      <c r="G100" s="41" t="s">
        <v>23</v>
      </c>
      <c r="H100">
        <v>94</v>
      </c>
    </row>
    <row r="101" spans="1:8">
      <c r="A101">
        <v>95</v>
      </c>
      <c r="B101" s="37" t="str">
        <f t="shared" si="2"/>
        <v>NIO C$</v>
      </c>
      <c r="C101" s="38" t="s">
        <v>570</v>
      </c>
      <c r="D101" s="39">
        <f>VLOOKUP($C101,Table_1[#All],3,FALSE)</f>
        <v>48.623100000000001</v>
      </c>
      <c r="E101" s="39">
        <f>VLOOKUP($C101,Table_1[#All],4,FALSE)</f>
        <v>2.0566000000000001E-2</v>
      </c>
      <c r="F101" s="40" t="s">
        <v>571</v>
      </c>
      <c r="G101" s="41" t="s">
        <v>179</v>
      </c>
      <c r="H101">
        <v>95</v>
      </c>
    </row>
    <row r="102" spans="1:8">
      <c r="A102">
        <v>96</v>
      </c>
      <c r="B102" s="37" t="str">
        <f t="shared" si="2"/>
        <v>NGN ₦</v>
      </c>
      <c r="C102" s="38" t="s">
        <v>180</v>
      </c>
      <c r="D102" s="39">
        <f>VLOOKUP($C102,Table_1[#All],3,FALSE)</f>
        <v>1823.5889560000001</v>
      </c>
      <c r="E102" s="39">
        <f>VLOOKUP($C102,Table_1[#All],4,FALSE)</f>
        <v>5.4799999999999998E-4</v>
      </c>
      <c r="F102" s="40" t="s">
        <v>182</v>
      </c>
      <c r="G102" s="41" t="s">
        <v>181</v>
      </c>
      <c r="H102">
        <v>96</v>
      </c>
    </row>
    <row r="103" spans="1:8">
      <c r="A103">
        <v>97</v>
      </c>
      <c r="B103" s="37" t="str">
        <f t="shared" ref="B103:B134" si="3">IF(F103&amp;" "&amp;G103=F103&amp;" "&amp;F103,G103,F103&amp;" "&amp;G103)</f>
        <v>NOK kr</v>
      </c>
      <c r="C103" s="38" t="s">
        <v>183</v>
      </c>
      <c r="D103" s="39">
        <f>VLOOKUP($C103,Table_1[#All],3,FALSE)</f>
        <v>13.096648</v>
      </c>
      <c r="E103" s="39">
        <f>VLOOKUP($C103,Table_1[#All],4,FALSE)</f>
        <v>7.6355000000000006E-2</v>
      </c>
      <c r="F103" s="40" t="s">
        <v>184</v>
      </c>
      <c r="G103" s="41" t="s">
        <v>96</v>
      </c>
      <c r="H103">
        <v>97</v>
      </c>
    </row>
    <row r="104" spans="1:8">
      <c r="A104">
        <v>98</v>
      </c>
      <c r="B104" s="37" t="str">
        <f t="shared" si="3"/>
        <v>OMR ﷼</v>
      </c>
      <c r="C104" s="38" t="s">
        <v>185</v>
      </c>
      <c r="D104" s="39">
        <f>VLOOKUP($C104,Table_1[#All],3,FALSE)</f>
        <v>0.50809000000000004</v>
      </c>
      <c r="E104" s="39">
        <f>VLOOKUP($C104,Table_1[#All],4,FALSE)</f>
        <v>1.968154</v>
      </c>
      <c r="F104" s="40" t="s">
        <v>186</v>
      </c>
      <c r="G104" s="41" t="s">
        <v>127</v>
      </c>
      <c r="H104">
        <v>98</v>
      </c>
    </row>
    <row r="105" spans="1:8">
      <c r="A105">
        <v>99</v>
      </c>
      <c r="B105" s="37" t="str">
        <f t="shared" si="3"/>
        <v>PKR ₨</v>
      </c>
      <c r="C105" s="38" t="s">
        <v>187</v>
      </c>
      <c r="D105" s="39">
        <f>VLOOKUP($C105,Table_1[#All],3,FALSE)</f>
        <v>367.66101700000002</v>
      </c>
      <c r="E105" s="39">
        <f>VLOOKUP($C105,Table_1[#All],4,FALSE)</f>
        <v>2.7200000000000002E-3</v>
      </c>
      <c r="F105" s="40" t="s">
        <v>188</v>
      </c>
      <c r="G105" s="41" t="s">
        <v>160</v>
      </c>
      <c r="H105">
        <v>99</v>
      </c>
    </row>
    <row r="106" spans="1:8">
      <c r="A106">
        <v>100</v>
      </c>
      <c r="B106" s="37" t="str">
        <f t="shared" si="3"/>
        <v>PAB B/.</v>
      </c>
      <c r="C106" s="38" t="s">
        <v>189</v>
      </c>
      <c r="D106" s="39">
        <f>VLOOKUP($C106,Table_1[#All],3,FALSE)</f>
        <v>1.3213360000000001</v>
      </c>
      <c r="E106" s="39">
        <f>VLOOKUP($C106,Table_1[#All],4,FALSE)</f>
        <v>0.75680999999999998</v>
      </c>
      <c r="F106" s="40" t="s">
        <v>191</v>
      </c>
      <c r="G106" s="41" t="s">
        <v>190</v>
      </c>
      <c r="H106">
        <v>100</v>
      </c>
    </row>
    <row r="107" spans="1:8">
      <c r="A107">
        <v>101</v>
      </c>
      <c r="B107" s="37" t="str">
        <f t="shared" si="3"/>
        <v>PGK K</v>
      </c>
      <c r="C107" s="38" t="s">
        <v>573</v>
      </c>
      <c r="D107" s="39">
        <f>VLOOKUP($C107,Table_1[#All],3,FALSE)</f>
        <v>5.7987770000000003</v>
      </c>
      <c r="E107" s="39">
        <f>VLOOKUP($C107,Table_1[#All],4,FALSE)</f>
        <v>0.17244999999999999</v>
      </c>
      <c r="F107" s="40" t="s">
        <v>574</v>
      </c>
      <c r="G107" s="41" t="s">
        <v>139</v>
      </c>
      <c r="H107">
        <v>101</v>
      </c>
    </row>
    <row r="108" spans="1:8">
      <c r="A108">
        <v>102</v>
      </c>
      <c r="B108" s="37" t="str">
        <f t="shared" si="3"/>
        <v>PYG Gs</v>
      </c>
      <c r="C108" s="38" t="s">
        <v>192</v>
      </c>
      <c r="D108" s="39">
        <f>VLOOKUP($C108,Table_1[#All],3,FALSE)</f>
        <v>8078.3566799999999</v>
      </c>
      <c r="E108" s="39">
        <f>VLOOKUP($C108,Table_1[#All],4,FALSE)</f>
        <v>1.2400000000000001E-4</v>
      </c>
      <c r="F108" s="40" t="s">
        <v>194</v>
      </c>
      <c r="G108" s="41" t="s">
        <v>193</v>
      </c>
      <c r="H108">
        <v>102</v>
      </c>
    </row>
    <row r="109" spans="1:8">
      <c r="A109">
        <v>103</v>
      </c>
      <c r="B109" s="37" t="str">
        <f t="shared" si="3"/>
        <v>PEN</v>
      </c>
      <c r="C109" s="38" t="s">
        <v>196</v>
      </c>
      <c r="D109" s="39">
        <f>VLOOKUP($C109,Table_1[#All],3,FALSE)</f>
        <v>4.514748</v>
      </c>
      <c r="E109" s="39">
        <f>VLOOKUP($C109,Table_1[#All],4,FALSE)</f>
        <v>0.221496</v>
      </c>
      <c r="F109" s="40" t="s">
        <v>195</v>
      </c>
      <c r="G109" s="41" t="s">
        <v>195</v>
      </c>
      <c r="H109">
        <v>103</v>
      </c>
    </row>
    <row r="110" spans="1:8">
      <c r="A110">
        <v>104</v>
      </c>
      <c r="B110" s="37" t="str">
        <f t="shared" si="3"/>
        <v>PHP ₱</v>
      </c>
      <c r="C110" s="38" t="s">
        <v>197</v>
      </c>
      <c r="D110" s="39">
        <f>VLOOKUP($C110,Table_1[#All],3,FALSE)</f>
        <v>80.994410999999999</v>
      </c>
      <c r="E110" s="39">
        <f>VLOOKUP($C110,Table_1[#All],4,FALSE)</f>
        <v>1.2347E-2</v>
      </c>
      <c r="F110" s="40" t="s">
        <v>198</v>
      </c>
      <c r="G110" s="41" t="s">
        <v>91</v>
      </c>
      <c r="H110">
        <v>104</v>
      </c>
    </row>
    <row r="111" spans="1:8">
      <c r="A111">
        <v>105</v>
      </c>
      <c r="B111" s="37" t="str">
        <f t="shared" si="3"/>
        <v>PLN zł</v>
      </c>
      <c r="C111" s="38" t="s">
        <v>199</v>
      </c>
      <c r="D111" s="39">
        <f>VLOOKUP($C111,Table_1[#All],3,FALSE)</f>
        <v>4.9680429999999998</v>
      </c>
      <c r="E111" s="39">
        <f>VLOOKUP($C111,Table_1[#All],4,FALSE)</f>
        <v>0.20128699999999999</v>
      </c>
      <c r="F111" s="40" t="s">
        <v>201</v>
      </c>
      <c r="G111" s="41" t="s">
        <v>200</v>
      </c>
      <c r="H111">
        <v>105</v>
      </c>
    </row>
    <row r="112" spans="1:8">
      <c r="A112">
        <v>106</v>
      </c>
      <c r="B112" s="37" t="str">
        <f t="shared" si="3"/>
        <v>QAR ﷼</v>
      </c>
      <c r="C112" s="38" t="s">
        <v>202</v>
      </c>
      <c r="D112" s="39">
        <f>VLOOKUP($C112,Table_1[#All],3,FALSE)</f>
        <v>4.8099239999999996</v>
      </c>
      <c r="E112" s="39">
        <f>VLOOKUP($C112,Table_1[#All],4,FALSE)</f>
        <v>0.20790400000000001</v>
      </c>
      <c r="F112" s="40" t="s">
        <v>203</v>
      </c>
      <c r="G112" s="41" t="s">
        <v>127</v>
      </c>
      <c r="H112">
        <v>106</v>
      </c>
    </row>
    <row r="113" spans="1:8">
      <c r="A113">
        <v>107</v>
      </c>
      <c r="B113" s="37" t="str">
        <f t="shared" si="3"/>
        <v>RON lei</v>
      </c>
      <c r="C113" s="38" t="s">
        <v>204</v>
      </c>
      <c r="D113" s="39">
        <f>VLOOKUP($C113,Table_1[#All],3,FALSE)</f>
        <v>6.0739210000000003</v>
      </c>
      <c r="E113" s="39">
        <f>VLOOKUP($C113,Table_1[#All],4,FALSE)</f>
        <v>0.16463800000000001</v>
      </c>
      <c r="F113" s="40" t="s">
        <v>206</v>
      </c>
      <c r="G113" s="41" t="s">
        <v>205</v>
      </c>
      <c r="H113">
        <v>107</v>
      </c>
    </row>
    <row r="114" spans="1:8">
      <c r="A114">
        <v>108</v>
      </c>
      <c r="B114" s="37" t="str">
        <f t="shared" si="3"/>
        <v>RUB ₽</v>
      </c>
      <c r="C114" s="38" t="s">
        <v>207</v>
      </c>
      <c r="D114" s="39">
        <f>VLOOKUP($C114,Table_1[#All],3,FALSE)</f>
        <v>102.129927</v>
      </c>
      <c r="E114" s="39">
        <f>VLOOKUP($C114,Table_1[#All],4,FALSE)</f>
        <v>9.7909999999999994E-3</v>
      </c>
      <c r="F114" s="40" t="s">
        <v>209</v>
      </c>
      <c r="G114" s="41" t="s">
        <v>208</v>
      </c>
      <c r="H114">
        <v>108</v>
      </c>
    </row>
    <row r="115" spans="1:8">
      <c r="A115">
        <v>109</v>
      </c>
      <c r="B115" s="37" t="str">
        <f t="shared" si="3"/>
        <v>RWF</v>
      </c>
      <c r="C115" s="38" t="s">
        <v>576</v>
      </c>
      <c r="D115" s="39">
        <f>VLOOKUP($C115,Table_1[#All],3,FALSE)</f>
        <v>1934.873235</v>
      </c>
      <c r="E115" s="39">
        <f>VLOOKUP($C115,Table_1[#All],4,FALSE)</f>
        <v>5.1699999999999999E-4</v>
      </c>
      <c r="F115" s="40" t="s">
        <v>210</v>
      </c>
      <c r="G115" s="41" t="s">
        <v>210</v>
      </c>
      <c r="H115">
        <v>109</v>
      </c>
    </row>
    <row r="116" spans="1:8">
      <c r="A116">
        <v>110</v>
      </c>
      <c r="B116" s="37" t="str">
        <f t="shared" si="3"/>
        <v>SVC $</v>
      </c>
      <c r="C116" s="38" t="s">
        <v>597</v>
      </c>
      <c r="D116" s="39">
        <f>VLOOKUP($C116,Table_1[#All],3,FALSE)</f>
        <v>11.561719</v>
      </c>
      <c r="E116" s="39">
        <f>VLOOKUP($C116,Table_1[#All],4,FALSE)</f>
        <v>8.6491999999999999E-2</v>
      </c>
      <c r="F116" s="40" t="s">
        <v>598</v>
      </c>
      <c r="G116" s="41" t="s">
        <v>23</v>
      </c>
      <c r="H116">
        <v>110</v>
      </c>
    </row>
    <row r="117" spans="1:8">
      <c r="A117">
        <v>111</v>
      </c>
      <c r="B117" s="37" t="str">
        <f t="shared" si="3"/>
        <v>WST</v>
      </c>
      <c r="C117" s="38" t="s">
        <v>615</v>
      </c>
      <c r="D117" s="39">
        <f>VLOOKUP($C117,Table_1[#All],3,FALSE)</f>
        <v>3.6390340000000001</v>
      </c>
      <c r="E117" s="39">
        <f>VLOOKUP($C117,Table_1[#All],4,FALSE)</f>
        <v>0.27479799999999999</v>
      </c>
      <c r="F117" s="40" t="s">
        <v>211</v>
      </c>
      <c r="G117" s="41" t="s">
        <v>211</v>
      </c>
      <c r="H117">
        <v>111</v>
      </c>
    </row>
    <row r="118" spans="1:8">
      <c r="A118">
        <v>112</v>
      </c>
      <c r="B118" s="37" t="str">
        <f t="shared" si="3"/>
        <v>STN</v>
      </c>
      <c r="C118" s="38" t="s">
        <v>595</v>
      </c>
      <c r="D118" s="39">
        <f>VLOOKUP($C118,Table_1[#All],3,FALSE)</f>
        <v>28.394642000000001</v>
      </c>
      <c r="E118" s="39">
        <f>VLOOKUP($C118,Table_1[#All],4,FALSE)</f>
        <v>3.5217999999999999E-2</v>
      </c>
      <c r="F118" s="40" t="s">
        <v>212</v>
      </c>
      <c r="G118" s="41" t="s">
        <v>212</v>
      </c>
      <c r="H118">
        <v>112</v>
      </c>
    </row>
    <row r="119" spans="1:8">
      <c r="A119">
        <v>113</v>
      </c>
      <c r="B119" s="37" t="str">
        <f t="shared" si="3"/>
        <v>SAR ﷼</v>
      </c>
      <c r="C119" s="38" t="s">
        <v>213</v>
      </c>
      <c r="D119" s="39">
        <f>VLOOKUP($C119,Table_1[#All],3,FALSE)</f>
        <v>4.9561250000000001</v>
      </c>
      <c r="E119" s="39">
        <f>VLOOKUP($C119,Table_1[#All],4,FALSE)</f>
        <v>0.20177100000000001</v>
      </c>
      <c r="F119" s="40" t="s">
        <v>214</v>
      </c>
      <c r="G119" s="41" t="s">
        <v>127</v>
      </c>
      <c r="H119">
        <v>113</v>
      </c>
    </row>
    <row r="120" spans="1:8">
      <c r="A120">
        <v>114</v>
      </c>
      <c r="B120" s="37" t="str">
        <f t="shared" si="3"/>
        <v>RSD Дин.</v>
      </c>
      <c r="C120" s="38" t="s">
        <v>215</v>
      </c>
      <c r="D120" s="39">
        <f>VLOOKUP($C120,Table_1[#All],3,FALSE)</f>
        <v>136.26876100000001</v>
      </c>
      <c r="E120" s="39">
        <f>VLOOKUP($C120,Table_1[#All],4,FALSE)</f>
        <v>7.3379999999999999E-3</v>
      </c>
      <c r="F120" s="40" t="s">
        <v>217</v>
      </c>
      <c r="G120" s="41" t="s">
        <v>216</v>
      </c>
      <c r="H120">
        <v>114</v>
      </c>
    </row>
    <row r="121" spans="1:8">
      <c r="A121">
        <v>115</v>
      </c>
      <c r="B121" s="37" t="str">
        <f t="shared" si="3"/>
        <v>SCR ₨</v>
      </c>
      <c r="C121" s="38" t="s">
        <v>581</v>
      </c>
      <c r="D121" s="39">
        <f>VLOOKUP($C121,Table_1[#All],3,FALSE)</f>
        <v>19.461803</v>
      </c>
      <c r="E121" s="39">
        <f>VLOOKUP($C121,Table_1[#All],4,FALSE)</f>
        <v>5.1382999999999998E-2</v>
      </c>
      <c r="F121" s="40" t="s">
        <v>582</v>
      </c>
      <c r="G121" s="41" t="s">
        <v>160</v>
      </c>
      <c r="H121">
        <v>115</v>
      </c>
    </row>
    <row r="122" spans="1:8">
      <c r="A122">
        <v>116</v>
      </c>
      <c r="B122" s="37" t="str">
        <f t="shared" si="3"/>
        <v>SGD $</v>
      </c>
      <c r="C122" s="38" t="s">
        <v>218</v>
      </c>
      <c r="D122" s="39">
        <f>VLOOKUP($C122,Table_1[#All],3,FALSE)</f>
        <v>1.7109890000000001</v>
      </c>
      <c r="E122" s="39">
        <f>VLOOKUP($C122,Table_1[#All],4,FALSE)</f>
        <v>0.584457</v>
      </c>
      <c r="F122" s="40" t="s">
        <v>219</v>
      </c>
      <c r="G122" s="41" t="s">
        <v>23</v>
      </c>
      <c r="H122">
        <v>116</v>
      </c>
    </row>
    <row r="123" spans="1:8">
      <c r="A123">
        <v>117</v>
      </c>
      <c r="B123" s="37" t="str">
        <f t="shared" si="3"/>
        <v>SBD $</v>
      </c>
      <c r="C123" s="38" t="s">
        <v>578</v>
      </c>
      <c r="D123" s="39">
        <f>VLOOKUP($C123,Table_1[#All],3,FALSE)</f>
        <v>10.67314</v>
      </c>
      <c r="E123" s="39">
        <f>VLOOKUP($C123,Table_1[#All],4,FALSE)</f>
        <v>9.3692999999999999E-2</v>
      </c>
      <c r="F123" s="40" t="s">
        <v>579</v>
      </c>
      <c r="G123" s="41" t="s">
        <v>23</v>
      </c>
      <c r="H123">
        <v>117</v>
      </c>
    </row>
    <row r="124" spans="1:8">
      <c r="A124">
        <v>118</v>
      </c>
      <c r="B124" s="37" t="str">
        <f t="shared" si="3"/>
        <v>SOS S</v>
      </c>
      <c r="C124" s="38" t="s">
        <v>587</v>
      </c>
      <c r="D124" s="39">
        <f>VLOOKUP($C124,Table_1[#All],3,FALSE)</f>
        <v>755.05095600000004</v>
      </c>
      <c r="E124" s="39">
        <f>VLOOKUP($C124,Table_1[#All],4,FALSE)</f>
        <v>1.3240000000000001E-3</v>
      </c>
      <c r="F124" s="40" t="s">
        <v>588</v>
      </c>
      <c r="G124" s="41" t="s">
        <v>220</v>
      </c>
      <c r="H124">
        <v>118</v>
      </c>
    </row>
    <row r="125" spans="1:8">
      <c r="A125">
        <v>119</v>
      </c>
      <c r="B125" s="37" t="str">
        <f t="shared" si="3"/>
        <v>ZAR R</v>
      </c>
      <c r="C125" s="38" t="s">
        <v>221</v>
      </c>
      <c r="D125" s="39">
        <f>VLOOKUP($C125,Table_1[#All],3,FALSE)</f>
        <v>21.750321</v>
      </c>
      <c r="E125" s="39">
        <f>VLOOKUP($C125,Table_1[#All],4,FALSE)</f>
        <v>4.5976000000000003E-2</v>
      </c>
      <c r="F125" s="40" t="s">
        <v>223</v>
      </c>
      <c r="G125" s="41" t="s">
        <v>222</v>
      </c>
      <c r="H125">
        <v>119</v>
      </c>
    </row>
    <row r="126" spans="1:8">
      <c r="A126">
        <v>120</v>
      </c>
      <c r="B126" s="37" t="str">
        <f t="shared" si="3"/>
        <v>KRW ₩</v>
      </c>
      <c r="C126" s="38" t="s">
        <v>224</v>
      </c>
      <c r="D126" s="39">
        <f>VLOOKUP($C126,Table_1[#All],3,FALSE)</f>
        <v>2034.3881530000001</v>
      </c>
      <c r="E126" s="39">
        <f>VLOOKUP($C126,Table_1[#All],4,FALSE)</f>
        <v>4.9200000000000003E-4</v>
      </c>
      <c r="F126" s="40" t="s">
        <v>226</v>
      </c>
      <c r="G126" s="41" t="s">
        <v>225</v>
      </c>
      <c r="H126">
        <v>120</v>
      </c>
    </row>
    <row r="127" spans="1:8">
      <c r="A127">
        <v>121</v>
      </c>
      <c r="B127" s="37" t="str">
        <f t="shared" si="3"/>
        <v>SSP</v>
      </c>
      <c r="C127" s="38" t="s">
        <v>593</v>
      </c>
      <c r="D127" s="39">
        <f>VLOOKUP($C127,Table_1[#All],3,FALSE)</f>
        <v>6199.1121409999996</v>
      </c>
      <c r="E127" s="39">
        <f>VLOOKUP($C127,Table_1[#All],4,FALSE)</f>
        <v>1.6100000000000001E-4</v>
      </c>
      <c r="F127" s="40" t="s">
        <v>227</v>
      </c>
      <c r="G127" s="41" t="s">
        <v>227</v>
      </c>
      <c r="H127">
        <v>121</v>
      </c>
    </row>
    <row r="128" spans="1:8">
      <c r="A128">
        <v>122</v>
      </c>
      <c r="B128" s="37" t="str">
        <f t="shared" si="3"/>
        <v>LKR ₨</v>
      </c>
      <c r="C128" s="38" t="s">
        <v>228</v>
      </c>
      <c r="D128" s="39">
        <f>VLOOKUP($C128,Table_1[#All],3,FALSE)</f>
        <v>445.35709000000003</v>
      </c>
      <c r="E128" s="39">
        <f>VLOOKUP($C128,Table_1[#All],4,FALSE)</f>
        <v>2.245E-3</v>
      </c>
      <c r="F128" s="40" t="s">
        <v>229</v>
      </c>
      <c r="G128" s="41" t="s">
        <v>160</v>
      </c>
      <c r="H128">
        <v>122</v>
      </c>
    </row>
    <row r="129" spans="1:8">
      <c r="A129">
        <v>123</v>
      </c>
      <c r="B129" s="37" t="str">
        <f t="shared" si="3"/>
        <v>SDG ج.س.</v>
      </c>
      <c r="C129" s="38" t="s">
        <v>584</v>
      </c>
      <c r="D129" s="39">
        <f>VLOOKUP($C129,Table_1[#All],3,FALSE)</f>
        <v>793.08760700000005</v>
      </c>
      <c r="E129" s="39">
        <f>VLOOKUP($C129,Table_1[#All],4,FALSE)</f>
        <v>1.261E-3</v>
      </c>
      <c r="F129" s="40" t="s">
        <v>585</v>
      </c>
      <c r="G129" s="41" t="s">
        <v>230</v>
      </c>
      <c r="H129">
        <v>123</v>
      </c>
    </row>
    <row r="130" spans="1:8">
      <c r="A130">
        <v>124</v>
      </c>
      <c r="B130" s="37" t="str">
        <f t="shared" si="3"/>
        <v>SRD $</v>
      </c>
      <c r="C130" s="38" t="s">
        <v>590</v>
      </c>
      <c r="D130" s="39">
        <f>VLOOKUP($C130,Table_1[#All],3,FALSE)</f>
        <v>49.390450999999999</v>
      </c>
      <c r="E130" s="39">
        <f>VLOOKUP($C130,Table_1[#All],4,FALSE)</f>
        <v>2.0247000000000001E-2</v>
      </c>
      <c r="F130" s="40" t="s">
        <v>591</v>
      </c>
      <c r="G130" s="41" t="s">
        <v>23</v>
      </c>
      <c r="H130">
        <v>124</v>
      </c>
    </row>
    <row r="131" spans="1:8">
      <c r="A131">
        <v>125</v>
      </c>
      <c r="B131" s="37" t="str">
        <f t="shared" si="3"/>
        <v>SZL</v>
      </c>
      <c r="C131" s="38" t="s">
        <v>600</v>
      </c>
      <c r="D131" s="39">
        <f>VLOOKUP($C131,Table_1[#All],3,FALSE)</f>
        <v>21.749832000000001</v>
      </c>
      <c r="E131" s="39">
        <f>VLOOKUP($C131,Table_1[#All],4,FALSE)</f>
        <v>4.5976999999999997E-2</v>
      </c>
      <c r="F131" s="40" t="s">
        <v>231</v>
      </c>
      <c r="G131" s="41" t="s">
        <v>231</v>
      </c>
      <c r="H131">
        <v>125</v>
      </c>
    </row>
    <row r="132" spans="1:8">
      <c r="A132">
        <v>126</v>
      </c>
      <c r="B132" s="37" t="str">
        <f t="shared" si="3"/>
        <v>SEK kr</v>
      </c>
      <c r="C132" s="38" t="s">
        <v>232</v>
      </c>
      <c r="D132" s="39">
        <f>VLOOKUP($C132,Table_1[#All],3,FALSE)</f>
        <v>12.837585000000001</v>
      </c>
      <c r="E132" s="39">
        <f>VLOOKUP($C132,Table_1[#All],4,FALSE)</f>
        <v>7.7896000000000007E-2</v>
      </c>
      <c r="F132" s="40" t="s">
        <v>233</v>
      </c>
      <c r="G132" s="41" t="s">
        <v>96</v>
      </c>
      <c r="H132">
        <v>126</v>
      </c>
    </row>
    <row r="133" spans="1:8">
      <c r="A133">
        <v>127</v>
      </c>
      <c r="B133" s="37" t="str">
        <f t="shared" si="3"/>
        <v>TJS</v>
      </c>
      <c r="C133" s="38" t="s">
        <v>235</v>
      </c>
      <c r="D133" s="39">
        <f>VLOOKUP($C133,Table_1[#All],3,FALSE)</f>
        <v>12.245392000000001</v>
      </c>
      <c r="E133" s="39">
        <f>VLOOKUP($C133,Table_1[#All],4,FALSE)</f>
        <v>8.1662999999999999E-2</v>
      </c>
      <c r="F133" s="40" t="s">
        <v>234</v>
      </c>
      <c r="G133" s="41" t="s">
        <v>234</v>
      </c>
      <c r="H133">
        <v>127</v>
      </c>
    </row>
    <row r="134" spans="1:8">
      <c r="A134">
        <v>128</v>
      </c>
      <c r="B134" s="37" t="str">
        <f t="shared" si="3"/>
        <v>TZS TSh</v>
      </c>
      <c r="C134" s="38" t="s">
        <v>608</v>
      </c>
      <c r="D134" s="39">
        <f>VLOOKUP($C134,Table_1[#All],3,FALSE)</f>
        <v>3468.2667510000001</v>
      </c>
      <c r="E134" s="39">
        <f>VLOOKUP($C134,Table_1[#All],4,FALSE)</f>
        <v>2.8800000000000001E-4</v>
      </c>
      <c r="F134" s="40" t="s">
        <v>609</v>
      </c>
      <c r="G134" s="41" t="s">
        <v>236</v>
      </c>
      <c r="H134">
        <v>128</v>
      </c>
    </row>
    <row r="135" spans="1:8">
      <c r="A135">
        <v>129</v>
      </c>
      <c r="B135" s="37" t="str">
        <f t="shared" ref="B135:B150" si="4">IF(F135&amp;" "&amp;G135=F135&amp;" "&amp;F135,G135,F135&amp;" "&amp;G135)</f>
        <v>THB ฿</v>
      </c>
      <c r="C135" s="38" t="s">
        <v>237</v>
      </c>
      <c r="D135" s="39">
        <f>VLOOKUP($C135,Table_1[#All],3,FALSE)</f>
        <v>44.126438999999998</v>
      </c>
      <c r="E135" s="39">
        <f>VLOOKUP($C135,Table_1[#All],4,FALSE)</f>
        <v>2.2662000000000002E-2</v>
      </c>
      <c r="F135" s="40" t="s">
        <v>239</v>
      </c>
      <c r="G135" s="41" t="s">
        <v>238</v>
      </c>
      <c r="H135">
        <v>129</v>
      </c>
    </row>
    <row r="136" spans="1:8">
      <c r="A136">
        <v>130</v>
      </c>
      <c r="B136" s="37" t="str">
        <f t="shared" si="4"/>
        <v>TOP T$</v>
      </c>
      <c r="C136" s="38" t="s">
        <v>602</v>
      </c>
      <c r="D136" s="39">
        <f>VLOOKUP($C136,Table_1[#All],3,FALSE)</f>
        <v>3.13558</v>
      </c>
      <c r="E136" s="39">
        <f>VLOOKUP($C136,Table_1[#All],4,FALSE)</f>
        <v>0.31891999999999998</v>
      </c>
      <c r="F136" s="40" t="s">
        <v>603</v>
      </c>
      <c r="G136" s="41" t="s">
        <v>240</v>
      </c>
      <c r="H136">
        <v>130</v>
      </c>
    </row>
    <row r="137" spans="1:8">
      <c r="A137">
        <v>131</v>
      </c>
      <c r="B137" s="37" t="str">
        <f t="shared" si="4"/>
        <v>TTD TT$</v>
      </c>
      <c r="C137" s="38" t="s">
        <v>605</v>
      </c>
      <c r="D137" s="39">
        <f>VLOOKUP($C137,Table_1[#All],3,FALSE)</f>
        <v>8.9526570000000003</v>
      </c>
      <c r="E137" s="39">
        <f>VLOOKUP($C137,Table_1[#All],4,FALSE)</f>
        <v>0.11169900000000001</v>
      </c>
      <c r="F137" s="40" t="s">
        <v>606</v>
      </c>
      <c r="G137" s="41" t="s">
        <v>241</v>
      </c>
      <c r="H137">
        <v>131</v>
      </c>
    </row>
    <row r="138" spans="1:8">
      <c r="A138">
        <v>132</v>
      </c>
      <c r="B138" s="37" t="str">
        <f t="shared" si="4"/>
        <v>TND د.ت</v>
      </c>
      <c r="C138" s="38" t="s">
        <v>242</v>
      </c>
      <c r="D138" s="39">
        <f>VLOOKUP($C138,Table_1[#All],3,FALSE)</f>
        <v>3.8996620000000002</v>
      </c>
      <c r="E138" s="39">
        <f>VLOOKUP($C138,Table_1[#All],4,FALSE)</f>
        <v>0.25643300000000002</v>
      </c>
      <c r="F138" s="40" t="s">
        <v>244</v>
      </c>
      <c r="G138" s="41" t="s">
        <v>243</v>
      </c>
      <c r="H138">
        <v>132</v>
      </c>
    </row>
    <row r="139" spans="1:8">
      <c r="A139">
        <v>133</v>
      </c>
      <c r="B139" s="37" t="str">
        <f t="shared" si="4"/>
        <v>TRY ₺</v>
      </c>
      <c r="C139" s="38" t="s">
        <v>245</v>
      </c>
      <c r="D139" s="39">
        <f>VLOOKUP($C139,Table_1[#All],3,FALSE)</f>
        <v>61.611145</v>
      </c>
      <c r="E139" s="39">
        <f>VLOOKUP($C139,Table_1[#All],4,FALSE)</f>
        <v>1.6230999999999999E-2</v>
      </c>
      <c r="F139" s="40" t="s">
        <v>247</v>
      </c>
      <c r="G139" s="41" t="s">
        <v>246</v>
      </c>
      <c r="H139">
        <v>133</v>
      </c>
    </row>
    <row r="140" spans="1:8">
      <c r="A140">
        <v>134</v>
      </c>
      <c r="B140" s="37" t="str">
        <f t="shared" si="4"/>
        <v>AED د.إ</v>
      </c>
      <c r="C140" s="38" t="s">
        <v>248</v>
      </c>
      <c r="D140" s="39">
        <f>VLOOKUP($C140,Table_1[#All],3,FALSE)</f>
        <v>4.8526910000000001</v>
      </c>
      <c r="E140" s="39">
        <f>VLOOKUP($C140,Table_1[#All],4,FALSE)</f>
        <v>0.206071</v>
      </c>
      <c r="F140" s="40" t="s">
        <v>250</v>
      </c>
      <c r="G140" s="41" t="s">
        <v>249</v>
      </c>
      <c r="H140">
        <v>134</v>
      </c>
    </row>
    <row r="141" spans="1:8">
      <c r="A141">
        <v>135</v>
      </c>
      <c r="B141" s="37" t="str">
        <f t="shared" si="4"/>
        <v>UGX</v>
      </c>
      <c r="C141" s="38" t="s">
        <v>611</v>
      </c>
      <c r="D141" s="39">
        <f>VLOOKUP($C141,Table_1[#All],3,FALSE)</f>
        <v>4879.2193269999998</v>
      </c>
      <c r="E141" s="39">
        <f>VLOOKUP($C141,Table_1[#All],4,FALSE)</f>
        <v>2.05E-4</v>
      </c>
      <c r="F141" s="40" t="s">
        <v>251</v>
      </c>
      <c r="G141" s="41" t="s">
        <v>251</v>
      </c>
      <c r="H141">
        <v>135</v>
      </c>
    </row>
    <row r="142" spans="1:8">
      <c r="A142">
        <v>136</v>
      </c>
      <c r="B142" s="37" t="str">
        <f t="shared" si="4"/>
        <v>UAH ₴</v>
      </c>
      <c r="C142" s="38" t="s">
        <v>252</v>
      </c>
      <c r="D142" s="39">
        <f>VLOOKUP($C142,Table_1[#All],3,FALSE)</f>
        <v>59.275398000000003</v>
      </c>
      <c r="E142" s="39">
        <f>VLOOKUP($C142,Table_1[#All],4,FALSE)</f>
        <v>1.687E-2</v>
      </c>
      <c r="F142" s="40" t="s">
        <v>254</v>
      </c>
      <c r="G142" s="41" t="s">
        <v>253</v>
      </c>
      <c r="H142">
        <v>136</v>
      </c>
    </row>
    <row r="143" spans="1:8">
      <c r="A143">
        <v>137</v>
      </c>
      <c r="B143" s="37" t="str">
        <f t="shared" si="4"/>
        <v>UYU $U</v>
      </c>
      <c r="C143" s="38" t="s">
        <v>255</v>
      </c>
      <c r="D143" s="39">
        <f>VLOOKUP($C143,Table_1[#All],3,FALSE)</f>
        <v>53.049534999999999</v>
      </c>
      <c r="E143" s="39">
        <f>VLOOKUP($C143,Table_1[#All],4,FALSE)</f>
        <v>1.8849999999999999E-2</v>
      </c>
      <c r="F143" s="40" t="s">
        <v>257</v>
      </c>
      <c r="G143" s="41" t="s">
        <v>256</v>
      </c>
      <c r="H143">
        <v>137</v>
      </c>
    </row>
    <row r="144" spans="1:8">
      <c r="A144">
        <v>138</v>
      </c>
      <c r="B144" s="37" t="str">
        <f t="shared" si="4"/>
        <v>UZS лв</v>
      </c>
      <c r="C144" s="38" t="s">
        <v>258</v>
      </c>
      <c r="D144" s="39">
        <f>VLOOKUP($C144,Table_1[#All],3,FALSE)</f>
        <v>15872.89443</v>
      </c>
      <c r="E144" s="39">
        <f>VLOOKUP($C144,Table_1[#All],4,FALSE)</f>
        <v>6.3E-5</v>
      </c>
      <c r="F144" s="40" t="s">
        <v>259</v>
      </c>
      <c r="G144" s="41" t="s">
        <v>73</v>
      </c>
      <c r="H144">
        <v>138</v>
      </c>
    </row>
    <row r="145" spans="1:8">
      <c r="A145">
        <v>139</v>
      </c>
      <c r="B145" s="37" t="str">
        <f t="shared" si="4"/>
        <v>VUV</v>
      </c>
      <c r="C145" s="38" t="s">
        <v>613</v>
      </c>
      <c r="D145" s="39">
        <f>VLOOKUP($C145,Table_1[#All],3,FALSE)</f>
        <v>157.10929100000001</v>
      </c>
      <c r="E145" s="39">
        <f>VLOOKUP($C145,Table_1[#All],4,FALSE)</f>
        <v>6.365E-3</v>
      </c>
      <c r="F145" s="40" t="s">
        <v>260</v>
      </c>
      <c r="G145" s="41" t="s">
        <v>260</v>
      </c>
      <c r="H145">
        <v>139</v>
      </c>
    </row>
    <row r="146" spans="1:8">
      <c r="A146">
        <v>140</v>
      </c>
      <c r="B146" s="37" t="str">
        <f t="shared" si="4"/>
        <v>VES Bs</v>
      </c>
      <c r="C146" s="38" t="s">
        <v>261</v>
      </c>
      <c r="D146" s="39">
        <f>VLOOKUP($C146,Table_1[#All],3,FALSE)</f>
        <v>821.12528799999995</v>
      </c>
      <c r="E146" s="39">
        <f>VLOOKUP($C146,Table_1[#All],4,FALSE)</f>
        <v>1.2179999999999999E-3</v>
      </c>
      <c r="F146" s="40" t="s">
        <v>263</v>
      </c>
      <c r="G146" s="41" t="s">
        <v>262</v>
      </c>
      <c r="H146">
        <v>140</v>
      </c>
    </row>
    <row r="147" spans="1:8">
      <c r="A147">
        <v>141</v>
      </c>
      <c r="B147" s="37" t="str">
        <f t="shared" si="4"/>
        <v>VND ₫</v>
      </c>
      <c r="C147" s="38" t="s">
        <v>264</v>
      </c>
      <c r="D147" s="39">
        <f>VLOOKUP($C147,Table_1[#All],3,FALSE)</f>
        <v>34764.203977999998</v>
      </c>
      <c r="E147" s="39">
        <f>VLOOKUP($C147,Table_1[#All],4,FALSE)</f>
        <v>2.9E-5</v>
      </c>
      <c r="F147" s="40" t="s">
        <v>266</v>
      </c>
      <c r="G147" s="41" t="s">
        <v>265</v>
      </c>
      <c r="H147">
        <v>141</v>
      </c>
    </row>
    <row r="148" spans="1:8">
      <c r="A148">
        <v>142</v>
      </c>
      <c r="B148" s="37" t="str">
        <f t="shared" si="4"/>
        <v>XOF</v>
      </c>
      <c r="C148" s="38" t="s">
        <v>268</v>
      </c>
      <c r="D148" s="39">
        <f>VLOOKUP($C148,Table_1[#All],3,FALSE)</f>
        <v>760.23118199999999</v>
      </c>
      <c r="E148" s="39">
        <f>VLOOKUP($C148,Table_1[#All],4,FALSE)</f>
        <v>1.315E-3</v>
      </c>
      <c r="F148" s="40" t="s">
        <v>267</v>
      </c>
      <c r="G148" s="41" t="s">
        <v>267</v>
      </c>
      <c r="H148">
        <v>142</v>
      </c>
    </row>
    <row r="149" spans="1:8">
      <c r="A149">
        <v>143</v>
      </c>
      <c r="B149" s="37" t="str">
        <f t="shared" si="4"/>
        <v>YER ﷼</v>
      </c>
      <c r="C149" s="38" t="s">
        <v>626</v>
      </c>
      <c r="D149" s="39">
        <f>VLOOKUP($C149,Table_1[#All],3,FALSE)</f>
        <v>315.19211200000001</v>
      </c>
      <c r="E149" s="39">
        <f>VLOOKUP($C149,Table_1[#All],4,FALSE)</f>
        <v>3.173E-3</v>
      </c>
      <c r="F149" s="40" t="s">
        <v>627</v>
      </c>
      <c r="G149" s="41" t="s">
        <v>127</v>
      </c>
      <c r="H149">
        <v>143</v>
      </c>
    </row>
    <row r="150" spans="1:8">
      <c r="A150">
        <v>144</v>
      </c>
      <c r="B150" s="37" t="str">
        <f t="shared" si="4"/>
        <v>ZMW £</v>
      </c>
      <c r="C150" s="38" t="s">
        <v>629</v>
      </c>
      <c r="D150" s="39">
        <f>VLOOKUP($C150,Table_1[#All],3,FALSE)</f>
        <v>23.864595000000001</v>
      </c>
      <c r="E150" s="39">
        <f>VLOOKUP($C150,Table_1[#All],4,FALSE)</f>
        <v>4.1903000000000003E-2</v>
      </c>
      <c r="F150" s="40" t="s">
        <v>630</v>
      </c>
      <c r="G150" s="41" t="s">
        <v>28</v>
      </c>
      <c r="H150">
        <v>144</v>
      </c>
    </row>
  </sheetData>
  <sheetProtection selectLockedCells="1"/>
  <autoFilter ref="B6:G150" xr:uid="{AD49BCC0-DBF6-4E28-B06A-64D285ED3B71}"/>
  <mergeCells count="1">
    <mergeCell ref="E1:F1"/>
  </mergeCells>
  <hyperlinks>
    <hyperlink ref="D2" r:id="rId1" xr:uid="{261AFD45-739A-49FC-AC13-9CDCF0338D36}"/>
    <hyperlink ref="D3" r:id="rId2" xr:uid="{45FEAE55-4CEA-425B-822C-16049036CFDF}"/>
  </hyperlinks>
  <printOptions horizontalCentered="1" verticalCentered="1"/>
  <pageMargins left="0.70866141732283472" right="0.70866141732283472" top="0.74803149606299213" bottom="0.74803149606299213" header="0.31496062992125984" footer="0.31496062992125984"/>
  <pageSetup paperSize="8" scale="90" fitToHeight="2" orientation="portrait" horizontalDpi="4294967293"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79D2A-7163-4A1F-BA8F-1FECCAFB9E43}">
  <sheetPr codeName="Sheet6"/>
  <dimension ref="A1:F147"/>
  <sheetViews>
    <sheetView workbookViewId="0">
      <selection sqref="A1:F148"/>
    </sheetView>
  </sheetViews>
  <sheetFormatPr defaultRowHeight="15"/>
  <cols>
    <col min="1" max="1" width="38.42578125" bestFit="1" customWidth="1"/>
    <col min="2" max="2" width="7.85546875" bestFit="1" customWidth="1"/>
    <col min="3" max="3" width="12" bestFit="1" customWidth="1"/>
    <col min="5" max="5" width="12.140625" bestFit="1" customWidth="1"/>
    <col min="6" max="6" width="8" bestFit="1" customWidth="1"/>
  </cols>
  <sheetData>
    <row r="1" spans="1:6">
      <c r="A1" t="s">
        <v>307</v>
      </c>
      <c r="B1" t="s">
        <v>308</v>
      </c>
      <c r="C1" t="s">
        <v>448</v>
      </c>
      <c r="D1" t="s">
        <v>449</v>
      </c>
      <c r="E1" t="s">
        <v>309</v>
      </c>
      <c r="F1" t="s">
        <v>310</v>
      </c>
    </row>
    <row r="2" spans="1:6">
      <c r="A2" t="s">
        <v>30</v>
      </c>
      <c r="B2" t="s">
        <v>31</v>
      </c>
      <c r="C2">
        <v>1.915457</v>
      </c>
      <c r="D2">
        <v>0.52206900000000001</v>
      </c>
      <c r="E2" t="s">
        <v>314</v>
      </c>
      <c r="F2" t="s">
        <v>312</v>
      </c>
    </row>
    <row r="3" spans="1:6">
      <c r="A3" t="s">
        <v>32</v>
      </c>
      <c r="B3" t="s">
        <v>33</v>
      </c>
      <c r="C3">
        <v>1.8743259999999999</v>
      </c>
      <c r="D3">
        <v>0.53352500000000003</v>
      </c>
      <c r="E3" t="s">
        <v>315</v>
      </c>
      <c r="F3" t="s">
        <v>312</v>
      </c>
    </row>
    <row r="4" spans="1:6">
      <c r="A4" t="s">
        <v>38</v>
      </c>
      <c r="B4" t="s">
        <v>37</v>
      </c>
      <c r="C4">
        <v>1.0684119999999999</v>
      </c>
      <c r="D4">
        <v>0.93596900000000005</v>
      </c>
      <c r="E4" t="s">
        <v>317</v>
      </c>
      <c r="F4" t="s">
        <v>312</v>
      </c>
    </row>
    <row r="5" spans="1:6">
      <c r="A5" t="s">
        <v>83</v>
      </c>
      <c r="B5" t="s">
        <v>84</v>
      </c>
      <c r="C5">
        <v>8.9836919999999996</v>
      </c>
      <c r="D5">
        <v>0.111313</v>
      </c>
      <c r="E5" t="s">
        <v>329</v>
      </c>
      <c r="F5" t="s">
        <v>312</v>
      </c>
    </row>
    <row r="6" spans="1:6">
      <c r="A6" t="s">
        <v>25</v>
      </c>
      <c r="B6" t="s">
        <v>27</v>
      </c>
      <c r="C6">
        <v>1.1596109999999999</v>
      </c>
      <c r="D6">
        <v>0.86235799999999996</v>
      </c>
      <c r="E6" t="s">
        <v>313</v>
      </c>
      <c r="F6" t="s">
        <v>312</v>
      </c>
    </row>
    <row r="7" spans="1:6">
      <c r="A7" t="s">
        <v>450</v>
      </c>
      <c r="B7" t="s">
        <v>29</v>
      </c>
      <c r="C7">
        <v>1</v>
      </c>
      <c r="D7">
        <v>1</v>
      </c>
      <c r="E7" t="s">
        <v>451</v>
      </c>
      <c r="F7" t="s">
        <v>312</v>
      </c>
    </row>
    <row r="8" spans="1:6">
      <c r="A8" t="s">
        <v>114</v>
      </c>
      <c r="B8" t="s">
        <v>115</v>
      </c>
      <c r="C8">
        <v>10.361727</v>
      </c>
      <c r="D8">
        <v>9.6508999999999998E-2</v>
      </c>
      <c r="E8" t="s">
        <v>338</v>
      </c>
      <c r="F8" t="s">
        <v>312</v>
      </c>
    </row>
    <row r="9" spans="1:6">
      <c r="A9" t="s">
        <v>124</v>
      </c>
      <c r="B9" t="s">
        <v>126</v>
      </c>
      <c r="C9">
        <v>23655.289764000001</v>
      </c>
      <c r="D9">
        <v>4.1999999999999998E-5</v>
      </c>
      <c r="E9" t="s">
        <v>342</v>
      </c>
      <c r="F9" t="s">
        <v>312</v>
      </c>
    </row>
    <row r="10" spans="1:6">
      <c r="A10" t="s">
        <v>121</v>
      </c>
      <c r="B10" t="s">
        <v>123</v>
      </c>
      <c r="C10">
        <v>124.74066999999999</v>
      </c>
      <c r="D10">
        <v>8.0169999999999998E-3</v>
      </c>
      <c r="E10" t="s">
        <v>341</v>
      </c>
      <c r="F10" t="s">
        <v>312</v>
      </c>
    </row>
    <row r="11" spans="1:6">
      <c r="A11" t="s">
        <v>34</v>
      </c>
      <c r="B11" t="s">
        <v>36</v>
      </c>
      <c r="C11">
        <v>213.52706699999999</v>
      </c>
      <c r="D11">
        <v>4.6829999999999997E-3</v>
      </c>
      <c r="E11" t="s">
        <v>316</v>
      </c>
      <c r="F11" t="s">
        <v>312</v>
      </c>
    </row>
    <row r="12" spans="1:6">
      <c r="A12" t="s">
        <v>224</v>
      </c>
      <c r="B12" t="s">
        <v>226</v>
      </c>
      <c r="C12">
        <v>2034.3881530000001</v>
      </c>
      <c r="D12">
        <v>4.9200000000000003E-4</v>
      </c>
      <c r="E12" t="s">
        <v>375</v>
      </c>
      <c r="F12" t="s">
        <v>312</v>
      </c>
    </row>
    <row r="13" spans="1:6">
      <c r="A13" t="s">
        <v>154</v>
      </c>
      <c r="B13" t="s">
        <v>156</v>
      </c>
      <c r="C13">
        <v>5.4087160000000001</v>
      </c>
      <c r="D13">
        <v>0.184887</v>
      </c>
      <c r="E13" t="s">
        <v>351</v>
      </c>
      <c r="F13" t="s">
        <v>312</v>
      </c>
    </row>
    <row r="14" spans="1:6">
      <c r="A14" t="s">
        <v>177</v>
      </c>
      <c r="B14" t="s">
        <v>178</v>
      </c>
      <c r="C14">
        <v>2.3393169999999999</v>
      </c>
      <c r="D14">
        <v>0.42747499999999999</v>
      </c>
      <c r="E14" t="s">
        <v>358</v>
      </c>
      <c r="F14" t="s">
        <v>312</v>
      </c>
    </row>
    <row r="15" spans="1:6">
      <c r="A15" t="s">
        <v>573</v>
      </c>
      <c r="B15" t="s">
        <v>574</v>
      </c>
      <c r="C15">
        <v>5.7987770000000003</v>
      </c>
      <c r="D15">
        <v>0.17244999999999999</v>
      </c>
      <c r="E15" t="s">
        <v>575</v>
      </c>
      <c r="F15" t="s">
        <v>312</v>
      </c>
    </row>
    <row r="16" spans="1:6">
      <c r="A16" t="s">
        <v>197</v>
      </c>
      <c r="B16" t="s">
        <v>198</v>
      </c>
      <c r="C16">
        <v>80.994410999999999</v>
      </c>
      <c r="D16">
        <v>1.2347E-2</v>
      </c>
      <c r="E16" t="s">
        <v>366</v>
      </c>
      <c r="F16" t="s">
        <v>312</v>
      </c>
    </row>
    <row r="17" spans="1:6">
      <c r="A17" t="s">
        <v>218</v>
      </c>
      <c r="B17" t="s">
        <v>219</v>
      </c>
      <c r="C17">
        <v>1.7109890000000001</v>
      </c>
      <c r="D17">
        <v>0.584457</v>
      </c>
      <c r="E17" t="s">
        <v>373</v>
      </c>
      <c r="F17" t="s">
        <v>312</v>
      </c>
    </row>
    <row r="18" spans="1:6">
      <c r="A18" t="s">
        <v>237</v>
      </c>
      <c r="B18" t="s">
        <v>239</v>
      </c>
      <c r="C18">
        <v>44.126438999999998</v>
      </c>
      <c r="D18">
        <v>2.2662000000000002E-2</v>
      </c>
      <c r="E18" t="s">
        <v>379</v>
      </c>
      <c r="F18" t="s">
        <v>312</v>
      </c>
    </row>
    <row r="19" spans="1:6">
      <c r="A19" t="s">
        <v>172</v>
      </c>
      <c r="B19" t="s">
        <v>174</v>
      </c>
      <c r="C19">
        <v>42.064869000000002</v>
      </c>
      <c r="D19">
        <v>2.3772999999999999E-2</v>
      </c>
      <c r="E19" t="s">
        <v>356</v>
      </c>
      <c r="F19" t="s">
        <v>312</v>
      </c>
    </row>
    <row r="20" spans="1:6">
      <c r="A20" t="s">
        <v>22</v>
      </c>
      <c r="B20" t="s">
        <v>24</v>
      </c>
      <c r="C20">
        <v>1.3213360000000001</v>
      </c>
      <c r="D20">
        <v>0.75680999999999998</v>
      </c>
      <c r="E20" t="s">
        <v>311</v>
      </c>
      <c r="F20" t="s">
        <v>312</v>
      </c>
    </row>
    <row r="21" spans="1:6">
      <c r="A21" t="s">
        <v>264</v>
      </c>
      <c r="B21" t="s">
        <v>266</v>
      </c>
      <c r="C21">
        <v>34764.203977999998</v>
      </c>
      <c r="D21">
        <v>2.9E-5</v>
      </c>
      <c r="E21" t="s">
        <v>387</v>
      </c>
      <c r="F21" t="s">
        <v>312</v>
      </c>
    </row>
    <row r="22" spans="1:6">
      <c r="A22" t="s">
        <v>248</v>
      </c>
      <c r="B22" t="s">
        <v>250</v>
      </c>
      <c r="C22">
        <v>4.8526910000000001</v>
      </c>
      <c r="D22">
        <v>0.206071</v>
      </c>
      <c r="E22" t="s">
        <v>382</v>
      </c>
      <c r="F22" t="s">
        <v>312</v>
      </c>
    </row>
    <row r="23" spans="1:6">
      <c r="A23" t="s">
        <v>202</v>
      </c>
      <c r="B23" t="s">
        <v>203</v>
      </c>
      <c r="C23">
        <v>4.8099239999999996</v>
      </c>
      <c r="D23">
        <v>0.20790400000000001</v>
      </c>
      <c r="E23" t="s">
        <v>368</v>
      </c>
      <c r="F23" t="s">
        <v>312</v>
      </c>
    </row>
    <row r="24" spans="1:6">
      <c r="A24" t="s">
        <v>213</v>
      </c>
      <c r="B24" t="s">
        <v>214</v>
      </c>
      <c r="C24">
        <v>4.9561250000000001</v>
      </c>
      <c r="D24">
        <v>0.20177100000000001</v>
      </c>
      <c r="E24" t="s">
        <v>371</v>
      </c>
      <c r="F24" t="s">
        <v>312</v>
      </c>
    </row>
    <row r="25" spans="1:6">
      <c r="A25" t="s">
        <v>69</v>
      </c>
      <c r="B25" t="s">
        <v>71</v>
      </c>
      <c r="C25">
        <v>6.8390050000000002</v>
      </c>
      <c r="D25">
        <v>0.14621999999999999</v>
      </c>
      <c r="E25" t="s">
        <v>326</v>
      </c>
      <c r="F25" t="s">
        <v>312</v>
      </c>
    </row>
    <row r="26" spans="1:6">
      <c r="A26" t="s">
        <v>92</v>
      </c>
      <c r="B26" t="s">
        <v>94</v>
      </c>
      <c r="C26">
        <v>28.121936999999999</v>
      </c>
      <c r="D26">
        <v>3.5559E-2</v>
      </c>
      <c r="E26" t="s">
        <v>332</v>
      </c>
      <c r="F26" t="s">
        <v>312</v>
      </c>
    </row>
    <row r="27" spans="1:6">
      <c r="A27" t="s">
        <v>95</v>
      </c>
      <c r="B27" t="s">
        <v>97</v>
      </c>
      <c r="C27">
        <v>8.6633300000000002</v>
      </c>
      <c r="D27">
        <v>0.115429</v>
      </c>
      <c r="E27" t="s">
        <v>333</v>
      </c>
      <c r="F27" t="s">
        <v>312</v>
      </c>
    </row>
    <row r="28" spans="1:6">
      <c r="A28" t="s">
        <v>102</v>
      </c>
      <c r="B28" t="s">
        <v>103</v>
      </c>
      <c r="C28">
        <v>65.425471000000002</v>
      </c>
      <c r="D28">
        <v>1.5285E-2</v>
      </c>
      <c r="E28" t="s">
        <v>335</v>
      </c>
      <c r="F28" t="s">
        <v>312</v>
      </c>
    </row>
    <row r="29" spans="1:6">
      <c r="A29" t="s">
        <v>116</v>
      </c>
      <c r="B29" t="s">
        <v>118</v>
      </c>
      <c r="C29">
        <v>410.384162</v>
      </c>
      <c r="D29">
        <v>2.4369999999999999E-3</v>
      </c>
      <c r="E29" t="s">
        <v>339</v>
      </c>
      <c r="F29" t="s">
        <v>312</v>
      </c>
    </row>
    <row r="30" spans="1:6">
      <c r="A30" t="s">
        <v>131</v>
      </c>
      <c r="B30" t="s">
        <v>133</v>
      </c>
      <c r="C30">
        <v>3.9613849999999999</v>
      </c>
      <c r="D30">
        <v>0.25243700000000002</v>
      </c>
      <c r="E30" t="s">
        <v>344</v>
      </c>
      <c r="F30" t="s">
        <v>312</v>
      </c>
    </row>
    <row r="31" spans="1:6">
      <c r="A31" t="s">
        <v>119</v>
      </c>
      <c r="B31" t="s">
        <v>120</v>
      </c>
      <c r="C31">
        <v>166.88385600000001</v>
      </c>
      <c r="D31">
        <v>5.9919999999999999E-3</v>
      </c>
      <c r="E31" t="s">
        <v>340</v>
      </c>
      <c r="F31" t="s">
        <v>312</v>
      </c>
    </row>
    <row r="32" spans="1:6">
      <c r="A32" t="s">
        <v>164</v>
      </c>
      <c r="B32" t="s">
        <v>163</v>
      </c>
      <c r="C32">
        <v>23.340115000000001</v>
      </c>
      <c r="D32">
        <v>4.2845000000000001E-2</v>
      </c>
      <c r="E32" t="s">
        <v>353</v>
      </c>
      <c r="F32" t="s">
        <v>312</v>
      </c>
    </row>
    <row r="33" spans="1:6">
      <c r="A33" t="s">
        <v>161</v>
      </c>
      <c r="B33" t="s">
        <v>162</v>
      </c>
      <c r="C33">
        <v>23.144943999999999</v>
      </c>
      <c r="D33">
        <v>4.3206000000000001E-2</v>
      </c>
      <c r="E33" t="s">
        <v>352</v>
      </c>
      <c r="F33" t="s">
        <v>312</v>
      </c>
    </row>
    <row r="34" spans="1:6">
      <c r="A34" t="s">
        <v>183</v>
      </c>
      <c r="B34" t="s">
        <v>184</v>
      </c>
      <c r="C34">
        <v>13.096648</v>
      </c>
      <c r="D34">
        <v>7.6355000000000006E-2</v>
      </c>
      <c r="E34" t="s">
        <v>360</v>
      </c>
      <c r="F34" t="s">
        <v>312</v>
      </c>
    </row>
    <row r="35" spans="1:6">
      <c r="A35" t="s">
        <v>199</v>
      </c>
      <c r="B35" t="s">
        <v>201</v>
      </c>
      <c r="C35">
        <v>4.9680429999999998</v>
      </c>
      <c r="D35">
        <v>0.20128699999999999</v>
      </c>
      <c r="E35" t="s">
        <v>367</v>
      </c>
      <c r="F35" t="s">
        <v>312</v>
      </c>
    </row>
    <row r="36" spans="1:6">
      <c r="A36" t="s">
        <v>204</v>
      </c>
      <c r="B36" t="s">
        <v>206</v>
      </c>
      <c r="C36">
        <v>6.0739210000000003</v>
      </c>
      <c r="D36">
        <v>0.16463800000000001</v>
      </c>
      <c r="E36" t="s">
        <v>369</v>
      </c>
      <c r="F36" t="s">
        <v>312</v>
      </c>
    </row>
    <row r="37" spans="1:6">
      <c r="A37" t="s">
        <v>215</v>
      </c>
      <c r="B37" t="s">
        <v>217</v>
      </c>
      <c r="C37">
        <v>136.26876100000001</v>
      </c>
      <c r="D37">
        <v>7.3379999999999999E-3</v>
      </c>
      <c r="E37" t="s">
        <v>372</v>
      </c>
      <c r="F37" t="s">
        <v>312</v>
      </c>
    </row>
    <row r="38" spans="1:6">
      <c r="A38" t="s">
        <v>207</v>
      </c>
      <c r="B38" t="s">
        <v>209</v>
      </c>
      <c r="C38">
        <v>102.129927</v>
      </c>
      <c r="D38">
        <v>9.7909999999999994E-3</v>
      </c>
      <c r="E38" t="s">
        <v>370</v>
      </c>
      <c r="F38" t="s">
        <v>312</v>
      </c>
    </row>
    <row r="39" spans="1:6">
      <c r="A39" t="s">
        <v>232</v>
      </c>
      <c r="B39" t="s">
        <v>233</v>
      </c>
      <c r="C39">
        <v>12.837585000000001</v>
      </c>
      <c r="D39">
        <v>7.7896000000000007E-2</v>
      </c>
      <c r="E39" t="s">
        <v>377</v>
      </c>
      <c r="F39" t="s">
        <v>312</v>
      </c>
    </row>
    <row r="40" spans="1:6">
      <c r="A40" t="s">
        <v>245</v>
      </c>
      <c r="B40" t="s">
        <v>247</v>
      </c>
      <c r="C40">
        <v>61.611145</v>
      </c>
      <c r="D40">
        <v>1.6230999999999999E-2</v>
      </c>
      <c r="E40" t="s">
        <v>381</v>
      </c>
      <c r="F40" t="s">
        <v>312</v>
      </c>
    </row>
    <row r="41" spans="1:6">
      <c r="A41" t="s">
        <v>252</v>
      </c>
      <c r="B41" t="s">
        <v>254</v>
      </c>
      <c r="C41">
        <v>59.275398000000003</v>
      </c>
      <c r="D41">
        <v>1.687E-2</v>
      </c>
      <c r="E41" t="s">
        <v>383</v>
      </c>
      <c r="F41" t="s">
        <v>312</v>
      </c>
    </row>
    <row r="42" spans="1:6">
      <c r="A42" t="s">
        <v>221</v>
      </c>
      <c r="B42" t="s">
        <v>223</v>
      </c>
      <c r="C42">
        <v>21.750321</v>
      </c>
      <c r="D42">
        <v>4.5976000000000003E-2</v>
      </c>
      <c r="E42" t="s">
        <v>374</v>
      </c>
      <c r="F42" t="s">
        <v>312</v>
      </c>
    </row>
    <row r="43" spans="1:6">
      <c r="A43" t="s">
        <v>136</v>
      </c>
      <c r="B43" t="s">
        <v>135</v>
      </c>
      <c r="C43">
        <v>0.93680099999999999</v>
      </c>
      <c r="D43">
        <v>1.0674619999999999</v>
      </c>
      <c r="E43" t="s">
        <v>345</v>
      </c>
      <c r="F43" t="s">
        <v>312</v>
      </c>
    </row>
    <row r="44" spans="1:6">
      <c r="A44" t="s">
        <v>81</v>
      </c>
      <c r="B44" t="s">
        <v>82</v>
      </c>
      <c r="C44">
        <v>1216.4430620000001</v>
      </c>
      <c r="D44">
        <v>8.2200000000000003E-4</v>
      </c>
      <c r="E44" t="s">
        <v>328</v>
      </c>
      <c r="F44" t="s">
        <v>312</v>
      </c>
    </row>
    <row r="45" spans="1:6">
      <c r="A45" t="s">
        <v>52</v>
      </c>
      <c r="B45" t="s">
        <v>54</v>
      </c>
      <c r="C45">
        <v>2.2462550000000001</v>
      </c>
      <c r="D45">
        <v>0.445185</v>
      </c>
      <c r="E45" t="s">
        <v>321</v>
      </c>
      <c r="F45" t="s">
        <v>312</v>
      </c>
    </row>
    <row r="46" spans="1:6">
      <c r="A46" t="s">
        <v>59</v>
      </c>
      <c r="B46" t="s">
        <v>58</v>
      </c>
      <c r="C46">
        <v>162.20938000000001</v>
      </c>
      <c r="D46">
        <v>6.1650000000000003E-3</v>
      </c>
      <c r="E46" t="s">
        <v>323</v>
      </c>
      <c r="F46" t="s">
        <v>312</v>
      </c>
    </row>
    <row r="47" spans="1:6">
      <c r="A47" t="s">
        <v>42</v>
      </c>
      <c r="B47" t="s">
        <v>44</v>
      </c>
      <c r="C47">
        <v>176.24947900000001</v>
      </c>
      <c r="D47">
        <v>5.6740000000000002E-3</v>
      </c>
      <c r="E47" t="s">
        <v>318</v>
      </c>
      <c r="F47" t="s">
        <v>312</v>
      </c>
    </row>
    <row r="48" spans="1:6">
      <c r="A48" t="s">
        <v>108</v>
      </c>
      <c r="B48" t="s">
        <v>107</v>
      </c>
      <c r="C48">
        <v>3.4942329999999999</v>
      </c>
      <c r="D48">
        <v>0.286186</v>
      </c>
      <c r="E48" t="s">
        <v>336</v>
      </c>
      <c r="F48" t="s">
        <v>312</v>
      </c>
    </row>
    <row r="49" spans="1:6">
      <c r="A49" t="s">
        <v>137</v>
      </c>
      <c r="B49" t="s">
        <v>138</v>
      </c>
      <c r="C49">
        <v>641.53484600000002</v>
      </c>
      <c r="D49">
        <v>1.5590000000000001E-3</v>
      </c>
      <c r="E49" t="s">
        <v>346</v>
      </c>
      <c r="F49" t="s">
        <v>312</v>
      </c>
    </row>
    <row r="50" spans="1:6">
      <c r="A50" t="s">
        <v>242</v>
      </c>
      <c r="B50" t="s">
        <v>244</v>
      </c>
      <c r="C50">
        <v>3.8996620000000002</v>
      </c>
      <c r="D50">
        <v>0.25643300000000002</v>
      </c>
      <c r="E50" t="s">
        <v>380</v>
      </c>
      <c r="F50" t="s">
        <v>312</v>
      </c>
    </row>
    <row r="51" spans="1:6">
      <c r="A51" t="s">
        <v>452</v>
      </c>
      <c r="B51" t="s">
        <v>453</v>
      </c>
      <c r="C51">
        <v>85.433217999999997</v>
      </c>
      <c r="D51">
        <v>1.1705E-2</v>
      </c>
      <c r="E51" t="s">
        <v>454</v>
      </c>
      <c r="F51" t="s">
        <v>312</v>
      </c>
    </row>
    <row r="52" spans="1:6">
      <c r="A52" t="s">
        <v>455</v>
      </c>
      <c r="B52" t="s">
        <v>456</v>
      </c>
      <c r="C52">
        <v>109.325165</v>
      </c>
      <c r="D52">
        <v>9.1470000000000006E-3</v>
      </c>
      <c r="E52" t="s">
        <v>457</v>
      </c>
      <c r="F52" t="s">
        <v>312</v>
      </c>
    </row>
    <row r="53" spans="1:6">
      <c r="A53" t="s">
        <v>48</v>
      </c>
      <c r="B53" t="s">
        <v>50</v>
      </c>
      <c r="C53">
        <v>485.872883</v>
      </c>
      <c r="D53">
        <v>2.0579999999999999E-3</v>
      </c>
      <c r="E53" t="s">
        <v>320</v>
      </c>
      <c r="F53" t="s">
        <v>312</v>
      </c>
    </row>
    <row r="54" spans="1:6">
      <c r="A54" t="s">
        <v>458</v>
      </c>
      <c r="B54" t="s">
        <v>459</v>
      </c>
      <c r="C54">
        <v>1217.9748259999999</v>
      </c>
      <c r="D54">
        <v>8.2100000000000001E-4</v>
      </c>
      <c r="E54" t="s">
        <v>460</v>
      </c>
      <c r="F54" t="s">
        <v>312</v>
      </c>
    </row>
    <row r="55" spans="1:6">
      <c r="A55" t="s">
        <v>46</v>
      </c>
      <c r="B55" t="s">
        <v>47</v>
      </c>
      <c r="C55">
        <v>1951.213714</v>
      </c>
      <c r="D55">
        <v>5.13E-4</v>
      </c>
      <c r="E55" t="s">
        <v>319</v>
      </c>
      <c r="F55" t="s">
        <v>312</v>
      </c>
    </row>
    <row r="56" spans="1:6">
      <c r="A56" t="s">
        <v>461</v>
      </c>
      <c r="B56" t="s">
        <v>462</v>
      </c>
      <c r="C56">
        <v>2.3652160000000002</v>
      </c>
      <c r="D56">
        <v>0.422794</v>
      </c>
      <c r="E56" t="s">
        <v>463</v>
      </c>
      <c r="F56" t="s">
        <v>312</v>
      </c>
    </row>
    <row r="57" spans="1:6">
      <c r="A57" t="s">
        <v>464</v>
      </c>
      <c r="B57" t="s">
        <v>465</v>
      </c>
      <c r="C57">
        <v>2.2667380000000001</v>
      </c>
      <c r="D57">
        <v>0.441162</v>
      </c>
      <c r="E57" t="s">
        <v>466</v>
      </c>
      <c r="F57" t="s">
        <v>312</v>
      </c>
    </row>
    <row r="58" spans="1:6">
      <c r="A58" t="s">
        <v>467</v>
      </c>
      <c r="B58" t="s">
        <v>468</v>
      </c>
      <c r="C58">
        <v>2.6426720000000001</v>
      </c>
      <c r="D58">
        <v>0.37840499999999999</v>
      </c>
      <c r="E58" t="s">
        <v>469</v>
      </c>
      <c r="F58" t="s">
        <v>312</v>
      </c>
    </row>
    <row r="59" spans="1:6">
      <c r="A59" t="s">
        <v>55</v>
      </c>
      <c r="B59" t="s">
        <v>57</v>
      </c>
      <c r="C59">
        <v>0.49719600000000003</v>
      </c>
      <c r="D59">
        <v>2.011279</v>
      </c>
      <c r="E59" t="s">
        <v>322</v>
      </c>
      <c r="F59" t="s">
        <v>312</v>
      </c>
    </row>
    <row r="60" spans="1:6">
      <c r="A60" t="s">
        <v>470</v>
      </c>
      <c r="B60" t="s">
        <v>471</v>
      </c>
      <c r="C60">
        <v>3957.5860480000001</v>
      </c>
      <c r="D60">
        <v>2.5300000000000002E-4</v>
      </c>
      <c r="E60" t="s">
        <v>472</v>
      </c>
      <c r="F60" t="s">
        <v>312</v>
      </c>
    </row>
    <row r="61" spans="1:6">
      <c r="A61" t="s">
        <v>473</v>
      </c>
      <c r="B61" t="s">
        <v>474</v>
      </c>
      <c r="C61">
        <v>1.710053</v>
      </c>
      <c r="D61">
        <v>0.58477699999999999</v>
      </c>
      <c r="E61" t="s">
        <v>475</v>
      </c>
      <c r="F61" t="s">
        <v>312</v>
      </c>
    </row>
    <row r="62" spans="1:6">
      <c r="A62" t="s">
        <v>64</v>
      </c>
      <c r="B62" t="s">
        <v>66</v>
      </c>
      <c r="C62">
        <v>9.1304420000000004</v>
      </c>
      <c r="D62">
        <v>0.109524</v>
      </c>
      <c r="E62" t="s">
        <v>325</v>
      </c>
      <c r="F62" t="s">
        <v>312</v>
      </c>
    </row>
    <row r="63" spans="1:6">
      <c r="A63" t="s">
        <v>476</v>
      </c>
      <c r="B63" t="s">
        <v>477</v>
      </c>
      <c r="C63">
        <v>1.3213360000000001</v>
      </c>
      <c r="D63">
        <v>0.75680999999999998</v>
      </c>
      <c r="E63" t="s">
        <v>478</v>
      </c>
      <c r="F63" t="s">
        <v>312</v>
      </c>
    </row>
    <row r="64" spans="1:6">
      <c r="A64" t="s">
        <v>479</v>
      </c>
      <c r="B64" t="s">
        <v>480</v>
      </c>
      <c r="C64">
        <v>18.377359999999999</v>
      </c>
      <c r="D64">
        <v>5.4414999999999998E-2</v>
      </c>
      <c r="E64" t="s">
        <v>481</v>
      </c>
      <c r="F64" t="s">
        <v>312</v>
      </c>
    </row>
    <row r="65" spans="1:6">
      <c r="A65" t="s">
        <v>482</v>
      </c>
      <c r="B65" t="s">
        <v>483</v>
      </c>
      <c r="C65">
        <v>2.6426720000000001</v>
      </c>
      <c r="D65">
        <v>0.37840499999999999</v>
      </c>
      <c r="E65" t="s">
        <v>484</v>
      </c>
      <c r="F65" t="s">
        <v>312</v>
      </c>
    </row>
    <row r="66" spans="1:6">
      <c r="A66" t="s">
        <v>485</v>
      </c>
      <c r="B66" t="s">
        <v>87</v>
      </c>
      <c r="C66">
        <v>2994.1472800000001</v>
      </c>
      <c r="D66">
        <v>3.3399999999999999E-4</v>
      </c>
      <c r="E66" t="s">
        <v>486</v>
      </c>
      <c r="F66" t="s">
        <v>312</v>
      </c>
    </row>
    <row r="67" spans="1:6">
      <c r="A67" t="s">
        <v>85</v>
      </c>
      <c r="B67" t="s">
        <v>86</v>
      </c>
      <c r="C67">
        <v>4539.3296710000004</v>
      </c>
      <c r="D67">
        <v>2.2000000000000001E-4</v>
      </c>
      <c r="E67" t="s">
        <v>330</v>
      </c>
      <c r="F67" t="s">
        <v>312</v>
      </c>
    </row>
    <row r="68" spans="1:6">
      <c r="A68" t="s">
        <v>88</v>
      </c>
      <c r="B68" t="s">
        <v>90</v>
      </c>
      <c r="C68">
        <v>599.92616099999998</v>
      </c>
      <c r="D68">
        <v>1.6670000000000001E-3</v>
      </c>
      <c r="E68" t="s">
        <v>331</v>
      </c>
      <c r="F68" t="s">
        <v>312</v>
      </c>
    </row>
    <row r="69" spans="1:6">
      <c r="A69" t="s">
        <v>487</v>
      </c>
      <c r="B69" t="s">
        <v>488</v>
      </c>
      <c r="C69">
        <v>31.712063000000001</v>
      </c>
      <c r="D69">
        <v>3.1534E-2</v>
      </c>
      <c r="E69" t="s">
        <v>489</v>
      </c>
      <c r="F69" t="s">
        <v>312</v>
      </c>
    </row>
    <row r="70" spans="1:6">
      <c r="A70" t="s">
        <v>490</v>
      </c>
      <c r="B70" t="s">
        <v>77</v>
      </c>
      <c r="C70">
        <v>127.793272</v>
      </c>
      <c r="D70">
        <v>7.8250000000000004E-3</v>
      </c>
      <c r="E70" t="s">
        <v>491</v>
      </c>
      <c r="F70" t="s">
        <v>312</v>
      </c>
    </row>
    <row r="71" spans="1:6">
      <c r="A71" t="s">
        <v>492</v>
      </c>
      <c r="B71" t="s">
        <v>98</v>
      </c>
      <c r="C71">
        <v>234.82948099999999</v>
      </c>
      <c r="D71">
        <v>4.2579999999999996E-3</v>
      </c>
      <c r="E71" t="s">
        <v>493</v>
      </c>
      <c r="F71" t="s">
        <v>312</v>
      </c>
    </row>
    <row r="72" spans="1:6">
      <c r="A72" t="s">
        <v>99</v>
      </c>
      <c r="B72" t="s">
        <v>101</v>
      </c>
      <c r="C72">
        <v>78.735675999999998</v>
      </c>
      <c r="D72">
        <v>1.2701E-2</v>
      </c>
      <c r="E72" t="s">
        <v>334</v>
      </c>
      <c r="F72" t="s">
        <v>312</v>
      </c>
    </row>
    <row r="73" spans="1:6">
      <c r="A73" t="s">
        <v>494</v>
      </c>
      <c r="B73" t="s">
        <v>104</v>
      </c>
      <c r="C73">
        <v>20.322102999999998</v>
      </c>
      <c r="D73">
        <v>4.9208000000000002E-2</v>
      </c>
      <c r="E73" t="s">
        <v>495</v>
      </c>
      <c r="F73" t="s">
        <v>312</v>
      </c>
    </row>
    <row r="74" spans="1:6">
      <c r="A74" t="s">
        <v>496</v>
      </c>
      <c r="B74" t="s">
        <v>497</v>
      </c>
      <c r="C74">
        <v>211.04137800000001</v>
      </c>
      <c r="D74">
        <v>4.738E-3</v>
      </c>
      <c r="E74" t="s">
        <v>498</v>
      </c>
      <c r="F74" t="s">
        <v>312</v>
      </c>
    </row>
    <row r="75" spans="1:6">
      <c r="A75" t="s">
        <v>499</v>
      </c>
      <c r="B75" t="s">
        <v>500</v>
      </c>
      <c r="C75">
        <v>2.994186</v>
      </c>
      <c r="D75">
        <v>0.33398099999999997</v>
      </c>
      <c r="E75" t="s">
        <v>501</v>
      </c>
      <c r="F75" t="s">
        <v>312</v>
      </c>
    </row>
    <row r="76" spans="1:6">
      <c r="A76" t="s">
        <v>502</v>
      </c>
      <c r="B76" t="s">
        <v>503</v>
      </c>
      <c r="C76">
        <v>14.877053999999999</v>
      </c>
      <c r="D76">
        <v>6.7218E-2</v>
      </c>
      <c r="E76" t="s">
        <v>504</v>
      </c>
      <c r="F76" t="s">
        <v>312</v>
      </c>
    </row>
    <row r="77" spans="1:6">
      <c r="A77" t="s">
        <v>505</v>
      </c>
      <c r="B77" t="s">
        <v>506</v>
      </c>
      <c r="C77">
        <v>0.99964200000000003</v>
      </c>
      <c r="D77">
        <v>1.0003580000000001</v>
      </c>
      <c r="E77" t="s">
        <v>507</v>
      </c>
      <c r="F77" t="s">
        <v>312</v>
      </c>
    </row>
    <row r="78" spans="1:6">
      <c r="A78" t="s">
        <v>508</v>
      </c>
      <c r="B78" t="s">
        <v>509</v>
      </c>
      <c r="C78">
        <v>95.614609999999999</v>
      </c>
      <c r="D78">
        <v>1.0459E-2</v>
      </c>
      <c r="E78" t="s">
        <v>510</v>
      </c>
      <c r="F78" t="s">
        <v>312</v>
      </c>
    </row>
    <row r="79" spans="1:6">
      <c r="A79" t="s">
        <v>511</v>
      </c>
      <c r="B79" t="s">
        <v>512</v>
      </c>
      <c r="C79">
        <v>11539.436110000001</v>
      </c>
      <c r="D79">
        <v>8.7000000000000001E-5</v>
      </c>
      <c r="E79" t="s">
        <v>513</v>
      </c>
      <c r="F79" t="s">
        <v>312</v>
      </c>
    </row>
    <row r="80" spans="1:6">
      <c r="A80" t="s">
        <v>514</v>
      </c>
      <c r="B80" t="s">
        <v>515</v>
      </c>
      <c r="C80">
        <v>10.076041</v>
      </c>
      <c r="D80">
        <v>9.9245E-2</v>
      </c>
      <c r="E80" t="s">
        <v>516</v>
      </c>
      <c r="F80" t="s">
        <v>312</v>
      </c>
    </row>
    <row r="81" spans="1:6">
      <c r="A81" t="s">
        <v>517</v>
      </c>
      <c r="B81" t="s">
        <v>518</v>
      </c>
      <c r="C81">
        <v>276.449884</v>
      </c>
      <c r="D81">
        <v>3.617E-3</v>
      </c>
      <c r="E81" t="s">
        <v>519</v>
      </c>
      <c r="F81" t="s">
        <v>312</v>
      </c>
    </row>
    <row r="82" spans="1:6">
      <c r="A82" t="s">
        <v>520</v>
      </c>
      <c r="B82" t="s">
        <v>521</v>
      </c>
      <c r="C82">
        <v>35.346344999999999</v>
      </c>
      <c r="D82">
        <v>2.8291E-2</v>
      </c>
      <c r="E82" t="s">
        <v>522</v>
      </c>
      <c r="F82" t="s">
        <v>312</v>
      </c>
    </row>
    <row r="83" spans="1:6">
      <c r="A83" t="s">
        <v>113</v>
      </c>
      <c r="B83" t="s">
        <v>112</v>
      </c>
      <c r="C83">
        <v>172.51019700000001</v>
      </c>
      <c r="D83">
        <v>5.7970000000000001E-3</v>
      </c>
      <c r="E83" t="s">
        <v>337</v>
      </c>
      <c r="F83" t="s">
        <v>312</v>
      </c>
    </row>
    <row r="84" spans="1:6">
      <c r="A84" t="s">
        <v>128</v>
      </c>
      <c r="B84" t="s">
        <v>130</v>
      </c>
      <c r="C84">
        <v>1730.950104</v>
      </c>
      <c r="D84">
        <v>5.7799999999999995E-4</v>
      </c>
      <c r="E84" t="s">
        <v>343</v>
      </c>
      <c r="F84" t="s">
        <v>312</v>
      </c>
    </row>
    <row r="85" spans="1:6">
      <c r="A85" t="s">
        <v>523</v>
      </c>
      <c r="B85" t="s">
        <v>524</v>
      </c>
      <c r="C85">
        <v>207.613043</v>
      </c>
      <c r="D85">
        <v>4.8170000000000001E-3</v>
      </c>
      <c r="E85" t="s">
        <v>525</v>
      </c>
      <c r="F85" t="s">
        <v>312</v>
      </c>
    </row>
    <row r="86" spans="1:6">
      <c r="A86" t="s">
        <v>526</v>
      </c>
      <c r="B86" t="s">
        <v>527</v>
      </c>
      <c r="C86">
        <v>171.155946</v>
      </c>
      <c r="D86">
        <v>5.8430000000000001E-3</v>
      </c>
      <c r="E86" t="s">
        <v>528</v>
      </c>
      <c r="F86" t="s">
        <v>312</v>
      </c>
    </row>
    <row r="87" spans="1:6">
      <c r="A87" t="s">
        <v>143</v>
      </c>
      <c r="B87" t="s">
        <v>144</v>
      </c>
      <c r="C87">
        <v>115.550777</v>
      </c>
      <c r="D87">
        <v>8.6540000000000002E-3</v>
      </c>
      <c r="E87" t="s">
        <v>348</v>
      </c>
      <c r="F87" t="s">
        <v>312</v>
      </c>
    </row>
    <row r="88" spans="1:6">
      <c r="A88" t="s">
        <v>529</v>
      </c>
      <c r="B88" t="s">
        <v>530</v>
      </c>
      <c r="C88">
        <v>5313.5414479999999</v>
      </c>
      <c r="D88">
        <v>1.8799999999999999E-4</v>
      </c>
      <c r="E88" t="s">
        <v>531</v>
      </c>
      <c r="F88" t="s">
        <v>312</v>
      </c>
    </row>
    <row r="89" spans="1:6">
      <c r="A89" t="s">
        <v>532</v>
      </c>
      <c r="B89" t="s">
        <v>39</v>
      </c>
      <c r="C89">
        <v>570.17338700000005</v>
      </c>
      <c r="D89">
        <v>1.7539999999999999E-3</v>
      </c>
      <c r="E89" t="s">
        <v>533</v>
      </c>
      <c r="F89" t="s">
        <v>312</v>
      </c>
    </row>
    <row r="90" spans="1:6">
      <c r="A90" t="s">
        <v>140</v>
      </c>
      <c r="B90" t="s">
        <v>142</v>
      </c>
      <c r="C90">
        <v>0.40807199999999999</v>
      </c>
      <c r="D90">
        <v>2.4505509999999999</v>
      </c>
      <c r="E90" t="s">
        <v>347</v>
      </c>
      <c r="F90" t="s">
        <v>312</v>
      </c>
    </row>
    <row r="91" spans="1:6">
      <c r="A91" t="s">
        <v>145</v>
      </c>
      <c r="B91" t="s">
        <v>146</v>
      </c>
      <c r="C91">
        <v>118259.56819799999</v>
      </c>
      <c r="D91">
        <v>7.9999999999999996E-6</v>
      </c>
      <c r="E91" t="s">
        <v>349</v>
      </c>
      <c r="F91" t="s">
        <v>312</v>
      </c>
    </row>
    <row r="92" spans="1:6">
      <c r="A92" t="s">
        <v>228</v>
      </c>
      <c r="B92" t="s">
        <v>229</v>
      </c>
      <c r="C92">
        <v>445.35709000000003</v>
      </c>
      <c r="D92">
        <v>2.245E-3</v>
      </c>
      <c r="E92" t="s">
        <v>376</v>
      </c>
      <c r="F92" t="s">
        <v>312</v>
      </c>
    </row>
    <row r="93" spans="1:6">
      <c r="A93" t="s">
        <v>534</v>
      </c>
      <c r="B93" t="s">
        <v>535</v>
      </c>
      <c r="C93">
        <v>240.469932</v>
      </c>
      <c r="D93">
        <v>4.1590000000000004E-3</v>
      </c>
      <c r="E93" t="s">
        <v>536</v>
      </c>
      <c r="F93" t="s">
        <v>312</v>
      </c>
    </row>
    <row r="94" spans="1:6">
      <c r="A94" t="s">
        <v>537</v>
      </c>
      <c r="B94" t="s">
        <v>147</v>
      </c>
      <c r="C94">
        <v>21.749832000000001</v>
      </c>
      <c r="D94">
        <v>4.5976999999999997E-2</v>
      </c>
      <c r="E94" t="s">
        <v>538</v>
      </c>
      <c r="F94" t="s">
        <v>312</v>
      </c>
    </row>
    <row r="95" spans="1:6">
      <c r="A95" t="s">
        <v>148</v>
      </c>
      <c r="B95" t="s">
        <v>150</v>
      </c>
      <c r="C95">
        <v>8.4731930000000002</v>
      </c>
      <c r="D95">
        <v>0.118019</v>
      </c>
      <c r="E95" t="s">
        <v>350</v>
      </c>
      <c r="F95" t="s">
        <v>312</v>
      </c>
    </row>
    <row r="96" spans="1:6">
      <c r="A96" t="s">
        <v>167</v>
      </c>
      <c r="B96" t="s">
        <v>166</v>
      </c>
      <c r="C96">
        <v>12.41831</v>
      </c>
      <c r="D96">
        <v>8.0526E-2</v>
      </c>
      <c r="E96" t="s">
        <v>354</v>
      </c>
      <c r="F96" t="s">
        <v>312</v>
      </c>
    </row>
    <row r="97" spans="1:6">
      <c r="A97" t="s">
        <v>539</v>
      </c>
      <c r="B97" t="s">
        <v>540</v>
      </c>
      <c r="C97">
        <v>5613.9219880000001</v>
      </c>
      <c r="D97">
        <v>1.7799999999999999E-4</v>
      </c>
      <c r="E97" t="s">
        <v>541</v>
      </c>
      <c r="F97" t="s">
        <v>312</v>
      </c>
    </row>
    <row r="98" spans="1:6">
      <c r="A98" t="s">
        <v>542</v>
      </c>
      <c r="B98" t="s">
        <v>543</v>
      </c>
      <c r="C98">
        <v>71.572461000000004</v>
      </c>
      <c r="D98">
        <v>1.3972E-2</v>
      </c>
      <c r="E98" t="s">
        <v>544</v>
      </c>
      <c r="F98" t="s">
        <v>312</v>
      </c>
    </row>
    <row r="99" spans="1:6">
      <c r="A99" t="s">
        <v>545</v>
      </c>
      <c r="B99" t="s">
        <v>169</v>
      </c>
      <c r="C99">
        <v>2774.793921</v>
      </c>
      <c r="D99">
        <v>3.6000000000000002E-4</v>
      </c>
      <c r="E99" t="s">
        <v>546</v>
      </c>
      <c r="F99" t="s">
        <v>312</v>
      </c>
    </row>
    <row r="100" spans="1:6">
      <c r="A100" t="s">
        <v>547</v>
      </c>
      <c r="B100" t="s">
        <v>548</v>
      </c>
      <c r="C100">
        <v>4728.345268</v>
      </c>
      <c r="D100">
        <v>2.1100000000000001E-4</v>
      </c>
      <c r="E100" t="s">
        <v>549</v>
      </c>
      <c r="F100" t="s">
        <v>312</v>
      </c>
    </row>
    <row r="101" spans="1:6">
      <c r="A101" t="s">
        <v>550</v>
      </c>
      <c r="B101" t="s">
        <v>551</v>
      </c>
      <c r="C101">
        <v>10.672908</v>
      </c>
      <c r="D101">
        <v>9.3695000000000001E-2</v>
      </c>
      <c r="E101" t="s">
        <v>552</v>
      </c>
      <c r="F101" t="s">
        <v>312</v>
      </c>
    </row>
    <row r="102" spans="1:6">
      <c r="A102" t="s">
        <v>553</v>
      </c>
      <c r="B102" t="s">
        <v>159</v>
      </c>
      <c r="C102">
        <v>52.721316000000002</v>
      </c>
      <c r="D102">
        <v>1.8967999999999999E-2</v>
      </c>
      <c r="E102" t="s">
        <v>554</v>
      </c>
      <c r="F102" t="s">
        <v>312</v>
      </c>
    </row>
    <row r="103" spans="1:6">
      <c r="A103" t="s">
        <v>555</v>
      </c>
      <c r="B103" t="s">
        <v>556</v>
      </c>
      <c r="C103">
        <v>63.243675000000003</v>
      </c>
      <c r="D103">
        <v>1.5812E-2</v>
      </c>
      <c r="E103" t="s">
        <v>557</v>
      </c>
      <c r="F103" t="s">
        <v>312</v>
      </c>
    </row>
    <row r="104" spans="1:6">
      <c r="A104" t="s">
        <v>558</v>
      </c>
      <c r="B104" t="s">
        <v>559</v>
      </c>
      <c r="C104">
        <v>20.374952</v>
      </c>
      <c r="D104">
        <v>4.9079999999999999E-2</v>
      </c>
      <c r="E104" t="s">
        <v>560</v>
      </c>
      <c r="F104" t="s">
        <v>312</v>
      </c>
    </row>
    <row r="105" spans="1:6">
      <c r="A105" t="s">
        <v>561</v>
      </c>
      <c r="B105" t="s">
        <v>562</v>
      </c>
      <c r="C105">
        <v>2289.8159909999999</v>
      </c>
      <c r="D105">
        <v>4.37E-4</v>
      </c>
      <c r="E105" t="s">
        <v>563</v>
      </c>
      <c r="F105" t="s">
        <v>312</v>
      </c>
    </row>
    <row r="106" spans="1:6">
      <c r="A106" t="s">
        <v>564</v>
      </c>
      <c r="B106" t="s">
        <v>565</v>
      </c>
      <c r="C106">
        <v>84.256753000000003</v>
      </c>
      <c r="D106">
        <v>1.1868E-2</v>
      </c>
      <c r="E106" t="s">
        <v>566</v>
      </c>
      <c r="F106" t="s">
        <v>312</v>
      </c>
    </row>
    <row r="107" spans="1:6">
      <c r="A107" t="s">
        <v>567</v>
      </c>
      <c r="B107" t="s">
        <v>568</v>
      </c>
      <c r="C107">
        <v>21.749832000000001</v>
      </c>
      <c r="D107">
        <v>4.5976999999999997E-2</v>
      </c>
      <c r="E107" t="s">
        <v>569</v>
      </c>
      <c r="F107" t="s">
        <v>312</v>
      </c>
    </row>
    <row r="108" spans="1:6">
      <c r="A108" t="s">
        <v>180</v>
      </c>
      <c r="B108" t="s">
        <v>182</v>
      </c>
      <c r="C108">
        <v>1823.5889560000001</v>
      </c>
      <c r="D108">
        <v>5.4799999999999998E-4</v>
      </c>
      <c r="E108" t="s">
        <v>359</v>
      </c>
      <c r="F108" t="s">
        <v>312</v>
      </c>
    </row>
    <row r="109" spans="1:6">
      <c r="A109" t="s">
        <v>570</v>
      </c>
      <c r="B109" t="s">
        <v>571</v>
      </c>
      <c r="C109">
        <v>48.623100000000001</v>
      </c>
      <c r="D109">
        <v>2.0566000000000001E-2</v>
      </c>
      <c r="E109" t="s">
        <v>572</v>
      </c>
      <c r="F109" t="s">
        <v>312</v>
      </c>
    </row>
    <row r="110" spans="1:6">
      <c r="A110" t="s">
        <v>170</v>
      </c>
      <c r="B110" t="s">
        <v>171</v>
      </c>
      <c r="C110">
        <v>199.583966</v>
      </c>
      <c r="D110">
        <v>5.0099999999999997E-3</v>
      </c>
      <c r="E110" t="s">
        <v>355</v>
      </c>
      <c r="F110" t="s">
        <v>312</v>
      </c>
    </row>
    <row r="111" spans="1:6">
      <c r="A111" t="s">
        <v>185</v>
      </c>
      <c r="B111" t="s">
        <v>186</v>
      </c>
      <c r="C111">
        <v>0.50809000000000004</v>
      </c>
      <c r="D111">
        <v>1.968154</v>
      </c>
      <c r="E111" t="s">
        <v>361</v>
      </c>
      <c r="F111" t="s">
        <v>312</v>
      </c>
    </row>
    <row r="112" spans="1:6">
      <c r="A112" t="s">
        <v>189</v>
      </c>
      <c r="B112" t="s">
        <v>191</v>
      </c>
      <c r="C112">
        <v>1.3213360000000001</v>
      </c>
      <c r="D112">
        <v>0.75680999999999998</v>
      </c>
      <c r="E112" t="s">
        <v>363</v>
      </c>
      <c r="F112" t="s">
        <v>312</v>
      </c>
    </row>
    <row r="113" spans="1:6">
      <c r="A113" t="s">
        <v>196</v>
      </c>
      <c r="B113" t="s">
        <v>195</v>
      </c>
      <c r="C113">
        <v>4.514748</v>
      </c>
      <c r="D113">
        <v>0.221496</v>
      </c>
      <c r="E113" t="s">
        <v>365</v>
      </c>
      <c r="F113" t="s">
        <v>312</v>
      </c>
    </row>
    <row r="114" spans="1:6">
      <c r="A114" t="s">
        <v>187</v>
      </c>
      <c r="B114" t="s">
        <v>188</v>
      </c>
      <c r="C114">
        <v>367.66101700000002</v>
      </c>
      <c r="D114">
        <v>2.7200000000000002E-3</v>
      </c>
      <c r="E114" t="s">
        <v>362</v>
      </c>
      <c r="F114" t="s">
        <v>312</v>
      </c>
    </row>
    <row r="115" spans="1:6">
      <c r="A115" t="s">
        <v>192</v>
      </c>
      <c r="B115" t="s">
        <v>194</v>
      </c>
      <c r="C115">
        <v>8078.3566799999999</v>
      </c>
      <c r="D115">
        <v>1.2400000000000001E-4</v>
      </c>
      <c r="E115" t="s">
        <v>364</v>
      </c>
      <c r="F115" t="s">
        <v>312</v>
      </c>
    </row>
    <row r="116" spans="1:6">
      <c r="A116" t="s">
        <v>576</v>
      </c>
      <c r="B116" t="s">
        <v>210</v>
      </c>
      <c r="C116">
        <v>1934.873235</v>
      </c>
      <c r="D116">
        <v>5.1699999999999999E-4</v>
      </c>
      <c r="E116" t="s">
        <v>577</v>
      </c>
      <c r="F116" t="s">
        <v>312</v>
      </c>
    </row>
    <row r="117" spans="1:6">
      <c r="A117" t="s">
        <v>578</v>
      </c>
      <c r="B117" t="s">
        <v>579</v>
      </c>
      <c r="C117">
        <v>10.67314</v>
      </c>
      <c r="D117">
        <v>9.3692999999999999E-2</v>
      </c>
      <c r="E117" t="s">
        <v>580</v>
      </c>
      <c r="F117" t="s">
        <v>312</v>
      </c>
    </row>
    <row r="118" spans="1:6">
      <c r="A118" t="s">
        <v>581</v>
      </c>
      <c r="B118" t="s">
        <v>582</v>
      </c>
      <c r="C118">
        <v>19.461803</v>
      </c>
      <c r="D118">
        <v>5.1382999999999998E-2</v>
      </c>
      <c r="E118" t="s">
        <v>583</v>
      </c>
      <c r="F118" t="s">
        <v>312</v>
      </c>
    </row>
    <row r="119" spans="1:6">
      <c r="A119" t="s">
        <v>584</v>
      </c>
      <c r="B119" t="s">
        <v>585</v>
      </c>
      <c r="C119">
        <v>793.08760700000005</v>
      </c>
      <c r="D119">
        <v>1.261E-3</v>
      </c>
      <c r="E119" t="s">
        <v>586</v>
      </c>
      <c r="F119" t="s">
        <v>312</v>
      </c>
    </row>
    <row r="120" spans="1:6">
      <c r="A120" t="s">
        <v>587</v>
      </c>
      <c r="B120" t="s">
        <v>588</v>
      </c>
      <c r="C120">
        <v>755.05095600000004</v>
      </c>
      <c r="D120">
        <v>1.3240000000000001E-3</v>
      </c>
      <c r="E120" t="s">
        <v>589</v>
      </c>
      <c r="F120" t="s">
        <v>312</v>
      </c>
    </row>
    <row r="121" spans="1:6">
      <c r="A121" t="s">
        <v>590</v>
      </c>
      <c r="B121" t="s">
        <v>591</v>
      </c>
      <c r="C121">
        <v>49.390450999999999</v>
      </c>
      <c r="D121">
        <v>2.0247000000000001E-2</v>
      </c>
      <c r="E121" t="s">
        <v>592</v>
      </c>
      <c r="F121" t="s">
        <v>312</v>
      </c>
    </row>
    <row r="122" spans="1:6">
      <c r="A122" t="s">
        <v>593</v>
      </c>
      <c r="B122" t="s">
        <v>227</v>
      </c>
      <c r="C122">
        <v>6199.1121409999996</v>
      </c>
      <c r="D122">
        <v>1.6100000000000001E-4</v>
      </c>
      <c r="E122" t="s">
        <v>594</v>
      </c>
      <c r="F122" t="s">
        <v>312</v>
      </c>
    </row>
    <row r="123" spans="1:6">
      <c r="A123" t="s">
        <v>595</v>
      </c>
      <c r="B123" t="s">
        <v>212</v>
      </c>
      <c r="C123">
        <v>28.394642000000001</v>
      </c>
      <c r="D123">
        <v>3.5217999999999999E-2</v>
      </c>
      <c r="E123" t="s">
        <v>596</v>
      </c>
      <c r="F123" t="s">
        <v>312</v>
      </c>
    </row>
    <row r="124" spans="1:6">
      <c r="A124" t="s">
        <v>597</v>
      </c>
      <c r="B124" t="s">
        <v>598</v>
      </c>
      <c r="C124">
        <v>11.561719</v>
      </c>
      <c r="D124">
        <v>8.6491999999999999E-2</v>
      </c>
      <c r="E124" t="s">
        <v>599</v>
      </c>
      <c r="F124" t="s">
        <v>312</v>
      </c>
    </row>
    <row r="125" spans="1:6">
      <c r="A125" t="s">
        <v>600</v>
      </c>
      <c r="B125" t="s">
        <v>231</v>
      </c>
      <c r="C125">
        <v>21.749832000000001</v>
      </c>
      <c r="D125">
        <v>4.5976999999999997E-2</v>
      </c>
      <c r="E125" t="s">
        <v>601</v>
      </c>
      <c r="F125" t="s">
        <v>312</v>
      </c>
    </row>
    <row r="126" spans="1:6">
      <c r="A126" t="s">
        <v>235</v>
      </c>
      <c r="B126" t="s">
        <v>234</v>
      </c>
      <c r="C126">
        <v>12.245392000000001</v>
      </c>
      <c r="D126">
        <v>8.1662999999999999E-2</v>
      </c>
      <c r="E126" t="s">
        <v>378</v>
      </c>
      <c r="F126" t="s">
        <v>312</v>
      </c>
    </row>
    <row r="127" spans="1:6">
      <c r="A127" t="s">
        <v>176</v>
      </c>
      <c r="B127" t="s">
        <v>175</v>
      </c>
      <c r="C127">
        <v>4.6247340000000001</v>
      </c>
      <c r="D127">
        <v>0.216229</v>
      </c>
      <c r="E127" t="s">
        <v>357</v>
      </c>
      <c r="F127" t="s">
        <v>312</v>
      </c>
    </row>
    <row r="128" spans="1:6">
      <c r="A128" t="s">
        <v>602</v>
      </c>
      <c r="B128" t="s">
        <v>603</v>
      </c>
      <c r="C128">
        <v>3.13558</v>
      </c>
      <c r="D128">
        <v>0.31891999999999998</v>
      </c>
      <c r="E128" t="s">
        <v>604</v>
      </c>
      <c r="F128" t="s">
        <v>312</v>
      </c>
    </row>
    <row r="129" spans="1:6">
      <c r="A129" t="s">
        <v>605</v>
      </c>
      <c r="B129" t="s">
        <v>606</v>
      </c>
      <c r="C129">
        <v>8.9526570000000003</v>
      </c>
      <c r="D129">
        <v>0.11169900000000001</v>
      </c>
      <c r="E129" t="s">
        <v>607</v>
      </c>
      <c r="F129" t="s">
        <v>312</v>
      </c>
    </row>
    <row r="130" spans="1:6">
      <c r="A130" t="s">
        <v>608</v>
      </c>
      <c r="B130" t="s">
        <v>609</v>
      </c>
      <c r="C130">
        <v>3468.2667510000001</v>
      </c>
      <c r="D130">
        <v>2.8800000000000001E-4</v>
      </c>
      <c r="E130" t="s">
        <v>610</v>
      </c>
      <c r="F130" t="s">
        <v>312</v>
      </c>
    </row>
    <row r="131" spans="1:6">
      <c r="A131" t="s">
        <v>611</v>
      </c>
      <c r="B131" t="s">
        <v>251</v>
      </c>
      <c r="C131">
        <v>4879.2193269999998</v>
      </c>
      <c r="D131">
        <v>2.05E-4</v>
      </c>
      <c r="E131" t="s">
        <v>612</v>
      </c>
      <c r="F131" t="s">
        <v>312</v>
      </c>
    </row>
    <row r="132" spans="1:6">
      <c r="A132" t="s">
        <v>255</v>
      </c>
      <c r="B132" t="s">
        <v>257</v>
      </c>
      <c r="C132">
        <v>53.049534999999999</v>
      </c>
      <c r="D132">
        <v>1.8849999999999999E-2</v>
      </c>
      <c r="E132" t="s">
        <v>384</v>
      </c>
      <c r="F132" t="s">
        <v>312</v>
      </c>
    </row>
    <row r="133" spans="1:6">
      <c r="A133" t="s">
        <v>258</v>
      </c>
      <c r="B133" t="s">
        <v>259</v>
      </c>
      <c r="C133">
        <v>15872.89443</v>
      </c>
      <c r="D133">
        <v>6.3E-5</v>
      </c>
      <c r="E133" t="s">
        <v>385</v>
      </c>
      <c r="F133" t="s">
        <v>312</v>
      </c>
    </row>
    <row r="134" spans="1:6">
      <c r="A134" t="s">
        <v>261</v>
      </c>
      <c r="B134" t="s">
        <v>263</v>
      </c>
      <c r="C134">
        <v>821.12528799999995</v>
      </c>
      <c r="D134">
        <v>1.2179999999999999E-3</v>
      </c>
      <c r="E134" t="s">
        <v>386</v>
      </c>
      <c r="F134" t="s">
        <v>312</v>
      </c>
    </row>
    <row r="135" spans="1:6">
      <c r="A135" t="s">
        <v>613</v>
      </c>
      <c r="B135" t="s">
        <v>260</v>
      </c>
      <c r="C135">
        <v>157.10929100000001</v>
      </c>
      <c r="D135">
        <v>6.365E-3</v>
      </c>
      <c r="E135" t="s">
        <v>614</v>
      </c>
      <c r="F135" t="s">
        <v>312</v>
      </c>
    </row>
    <row r="136" spans="1:6">
      <c r="A136" t="s">
        <v>615</v>
      </c>
      <c r="B136" t="s">
        <v>211</v>
      </c>
      <c r="C136">
        <v>3.6390340000000001</v>
      </c>
      <c r="D136">
        <v>0.27479799999999999</v>
      </c>
      <c r="E136" t="s">
        <v>616</v>
      </c>
      <c r="F136" t="s">
        <v>312</v>
      </c>
    </row>
    <row r="137" spans="1:6">
      <c r="A137" t="s">
        <v>79</v>
      </c>
      <c r="B137" t="s">
        <v>78</v>
      </c>
      <c r="C137">
        <v>760.23118199999999</v>
      </c>
      <c r="D137">
        <v>1.315E-3</v>
      </c>
      <c r="E137" t="s">
        <v>327</v>
      </c>
      <c r="F137" t="s">
        <v>312</v>
      </c>
    </row>
    <row r="138" spans="1:6">
      <c r="A138" t="s">
        <v>617</v>
      </c>
      <c r="B138" t="s">
        <v>618</v>
      </c>
      <c r="C138">
        <v>3.5676420000000002</v>
      </c>
      <c r="D138">
        <v>0.28029700000000002</v>
      </c>
      <c r="E138" t="s">
        <v>619</v>
      </c>
      <c r="F138" t="s">
        <v>312</v>
      </c>
    </row>
    <row r="139" spans="1:6">
      <c r="A139" t="s">
        <v>620</v>
      </c>
      <c r="B139" t="s">
        <v>621</v>
      </c>
      <c r="C139">
        <v>2.3652160000000002</v>
      </c>
      <c r="D139">
        <v>0.422794</v>
      </c>
      <c r="E139" t="s">
        <v>622</v>
      </c>
      <c r="F139" t="s">
        <v>312</v>
      </c>
    </row>
    <row r="140" spans="1:6">
      <c r="A140" t="s">
        <v>268</v>
      </c>
      <c r="B140" t="s">
        <v>267</v>
      </c>
      <c r="C140">
        <v>760.23118199999999</v>
      </c>
      <c r="D140">
        <v>1.315E-3</v>
      </c>
      <c r="E140" t="s">
        <v>388</v>
      </c>
      <c r="F140" t="s">
        <v>312</v>
      </c>
    </row>
    <row r="141" spans="1:6">
      <c r="A141" t="s">
        <v>623</v>
      </c>
      <c r="B141" t="s">
        <v>624</v>
      </c>
      <c r="C141">
        <v>138.30126000000001</v>
      </c>
      <c r="D141">
        <v>7.2309999999999996E-3</v>
      </c>
      <c r="E141" t="s">
        <v>625</v>
      </c>
      <c r="F141" t="s">
        <v>312</v>
      </c>
    </row>
    <row r="142" spans="1:6">
      <c r="A142" t="s">
        <v>626</v>
      </c>
      <c r="B142" t="s">
        <v>627</v>
      </c>
      <c r="C142">
        <v>315.19211200000001</v>
      </c>
      <c r="D142">
        <v>3.173E-3</v>
      </c>
      <c r="E142" t="s">
        <v>628</v>
      </c>
      <c r="F142" t="s">
        <v>312</v>
      </c>
    </row>
    <row r="143" spans="1:6">
      <c r="A143" t="s">
        <v>629</v>
      </c>
      <c r="B143" t="s">
        <v>630</v>
      </c>
      <c r="C143">
        <v>23.864595000000001</v>
      </c>
      <c r="D143">
        <v>4.1903000000000003E-2</v>
      </c>
      <c r="E143" t="s">
        <v>631</v>
      </c>
      <c r="F143" t="s">
        <v>312</v>
      </c>
    </row>
    <row r="144" spans="1:6">
      <c r="A144" t="s">
        <v>60</v>
      </c>
      <c r="B144" t="s">
        <v>62</v>
      </c>
      <c r="C144">
        <v>3.8326509999999998</v>
      </c>
      <c r="D144">
        <v>0.26091599999999998</v>
      </c>
      <c r="E144" t="s">
        <v>324</v>
      </c>
      <c r="F144" t="s">
        <v>312</v>
      </c>
    </row>
    <row r="145" spans="1:6">
      <c r="A145" t="s">
        <v>636</v>
      </c>
      <c r="B145" t="s">
        <v>637</v>
      </c>
      <c r="C145">
        <v>1814122.1968040001</v>
      </c>
      <c r="D145">
        <v>9.9999999999999995E-7</v>
      </c>
      <c r="E145" t="s">
        <v>638</v>
      </c>
      <c r="F145" t="s">
        <v>312</v>
      </c>
    </row>
    <row r="146" spans="1:6">
      <c r="A146" t="s">
        <v>639</v>
      </c>
      <c r="B146" t="s">
        <v>640</v>
      </c>
      <c r="C146">
        <v>29004.860704999999</v>
      </c>
      <c r="D146">
        <v>3.4E-5</v>
      </c>
      <c r="E146" t="s">
        <v>641</v>
      </c>
      <c r="F146" t="s">
        <v>312</v>
      </c>
    </row>
    <row r="147" spans="1:6">
      <c r="A147" t="s">
        <v>642</v>
      </c>
      <c r="B147" t="s">
        <v>643</v>
      </c>
      <c r="C147">
        <v>152.60112699999999</v>
      </c>
      <c r="D147">
        <v>6.5529999999999998E-3</v>
      </c>
      <c r="E147" t="s">
        <v>644</v>
      </c>
      <c r="F147" t="s">
        <v>312</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5 f e 9 6 e 4 5 - 9 2 5 7 - 4 9 0 c - 9 a a 2 - f d 4 2 7 1 6 9 d 7 4 d "   x m l n s = " h t t p : / / s c h e m a s . m i c r o s o f t . c o m / D a t a M a s h u p " > A A A A A L I E A A B Q S w M E F A A C A A g A p K L a X H t Y x d + m A A A A 9 g A A A B I A H A B D b 2 5 m a W c v U G F j a 2 F n Z S 5 4 b W w g o h g A K K A U A A A A A A A A A A A A A A A A A A A A A A A A A A A A h Y 8 x D o I w G I W v Q r r T F t R A S C m J D i 6 S m J g Y 1 6 Z U a I Q f Q 4 v l b g 4 e y S u I U d T N 8 X 3 v G 9 6 7 X 2 8 s G 5 r a u 6 j O 6 B Z S F G C K P A W y L T S U K e r t 0 Y 9 R x t l W y J M o l T f K Y J L B F C m q r D 0 n h D j n s J v h t i t J S G l A D v l m J y v V C P S R 9 X / Z 1 2 C s A K k Q Z / v X G B 7 i Y D H H U R R j y s g E W a 7 h K 4 T j 3 m f 7 A 9 m q r 2 3 f K a 7 A X y 8 Z m S I j 7 w / 8 A V B L A w Q U A A I A C A C k o t p 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K L a X A Y W Y y e q A Q A A I A U A A B M A H A B G b 3 J t d W x h c y 9 T Z W N 0 a W 9 u M S 5 t I K I Y A C i g F A A A A A A A A A A A A A A A A A A A A A A A A A A A A M 2 T T U / j M B C G 7 5 X 6 H y x z S V A 2 a f g 6 g L o S 7 b L L Y b W q a C Q O F Q c 3 H Z p K j l 3 Z k w 2 o 6 n 9 n 3 I S P Q C A c O B A p c f T O k 9 e e m Y y F F F d a s W m 1 x m f 9 X r 9 n M 2 F g w f Z 4 I u Y S 2 I C z I Z O A / R 6 j a 6 o L k w I p 1 z A P J 2 I J n n s Z a 4 W g 0 H o 8 Q 1 y f R l F Z l u G t 1 A K N Q L B h q v M o L Y w B l d 5 H y / k 6 4 r 4 f V I a / B I o B + V X G m 8 F 2 5 p S b O r r H J 0 b n G u k 8 l y A W Y K w 7 z e 5 g Y R 2 p d W 9 n F L B Z L Z 9 L O U 2 F F M Y O 0 R R w 4 z 8 5 j j O h l m S Y 3 K / h 2 S 0 x Q t l b b f K x l k W u X N B 6 L d s H m w 0 f 1 6 m w f y I H H j A k m C H c 4 T Z g F N W L t 2 L M K O 1 H V R X 5 H M x O X 6 l 3 A l T S / 2 A Q z F t / 6 g 8 2 1 K 3 f 7 6 1 U a 3 5 t H Y 3 f 7 + j I 6 N K C a f b T f q q h T / W 9 u C M o d T W r t v t N J W S X m E u 3 r V v D n e 5 V G 1 N G L l l X 8 5 i S 4 s n 5 6 O 8 F + 8 n 2 6 U 6 u 6 H G q M P u R Z i u 5 8 G K f 1 7 V x + E E X f t D A D 7 v w w w Z + 1 I U f N f D j L v y 4 g Z 9 0 4 S e E E z + 7 0 u U U J I 2 n N s N X H / A X / / S n p + S j 9 n z j 4 f k z m r Q P T 3 v g q 4 b n A V B L A Q I t A B Q A A g A I A K S i 2 l x 7 W M X f p g A A A P Y A A A A S A A A A A A A A A A A A A A A A A A A A A A B D b 2 5 m a W c v U G F j a 2 F n Z S 5 4 b W x Q S w E C L Q A U A A I A C A C k o t p c D 8 r p q 6 Q A A A D p A A A A E w A A A A A A A A A A A A A A A A D y A A A A W 0 N v b n R l b n R f V H l w Z X N d L n h t b F B L A Q I t A B Q A A g A I A K S i 2 l w G F m M n q g E A A C A F A A A T A A A A A A A A A A A A A A A A A O M B A A B G b 3 J t d W x h c y 9 T Z W N 0 a W 9 u M S 5 t U E s F B g A A A A A D A A M A w g A A A N o 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8 X A A A A A A A A 7 R Y 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x l J T I w M 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S Z X N 1 b H R U e X B l I i B W Y W x 1 Z T 0 i c 0 V 4 Y 2 V w d G l v b i I g L z 4 8 R W 5 0 c n k g V H l w Z T 0 i T m F t Z V V w Z G F 0 Z W R B Z n R l c k Z p b G w i I F Z h b H V l P S J s M C I g L z 4 8 R W 5 0 c n k g V H l w Z T 0 i T m F 2 a W d h d G l v b l N 0 Z X B O Y W 1 l I i B W Y W x 1 Z T 0 i c 0 5 h d m l n Y X R p b 2 4 i I C 8 + P E V u d H J 5 I F R 5 c G U 9 I k Z p b G x l Z E N v b X B s Z X R l U m V z d W x 0 V G 9 X b 3 J r c 2 h l Z X Q i I F Z h b H V l P S J s M S I g L z 4 8 R W 5 0 c n k g V H l w Z T 0 i R m l s b E N v d W 5 0 I i B W Y W x 1 Z T 0 i b D g w I i A v P j x F b n R y e S B U e X B l P S J G a W x s R X J y b 3 J D b 2 R l I i B W Y W x 1 Z T 0 i c 1 V u a 2 5 v d 2 4 i I C 8 + P E V u d H J 5 I F R 5 c G U 9 I k Z p b G x F c n J v c k N v d W 5 0 I i B W Y W x 1 Z T 0 i b D A i I C 8 + P E V u d H J 5 I F R 5 c G U 9 I k Z p b G x M Y X N 0 V X B k Y X R l Z C I g V m F s d W U 9 I m Q y M D I z L T E w L T I 0 V D E 3 O j Q z O j Q 1 L j E 2 O D U 2 O D J a I i A v P j x F b n R y e S B U e X B l P S J G a W x s Q 2 9 s d W 1 u V H l w Z X M i I F Z h b H V l P S J z Q m d Z R k J R W U c i I C 8 + P E V u d H J 5 I F R 5 c G U 9 I k Z p b G x D b 2 x 1 b W 5 O Y W 1 l c y I g V m F s d W U 9 I n N b J n F 1 b 3 Q 7 Q 3 V y c m V u Y 3 k g T m F t Z S Z x d W 9 0 O y w m c X V v d D t D b 2 R l J n F 1 b 3 Q 7 L C Z x d W 9 0 O z E g Z 2 J w J n F 1 b 3 Q 7 L C Z x d W 9 0 O 2 l u I G d i c C Z x d W 9 0 O y w m c X V v d D t D b 2 5 2 Z X J 0 Z X I m c X V v d D s s J n F 1 b 3 Q 7 Q 2 h h c n Q m c X V v d D t d I i A v P j x F b n R y e S B U e X B l P S J G a W x s U 3 R h d H V z I i B W Y W x 1 Z T 0 i c 0 N v b X B s Z X R l I i A v P j x F b n R y e S B U e X B l P S J C d W Z m Z X J O Z X h 0 U m V m c m V z a C I g V m F s d W U 9 I m w x I i A v P j x F b n R y e S B U e X B l P S J R d W V y e U l E I i B W Y W x 1 Z T 0 i c z I 4 Z W Y 4 N z U 1 L W J m Y W U t N D Q 5 O C 0 4 Z j k w L W N l O D J i N z I 0 N z c 5 Z S I g L z 4 8 R W 5 0 c n k g V H l w Z T 0 i Q W R k Z W R U b 0 R h d G F N b 2 R l b C I g V m F s d W U 9 I m w w I i A v P j x F b n R y e S B U e X B l P S J S Z W x h d G l v b n N o a X B J b m Z v Q 2 9 u d G F p b m V y I i B W Y W x 1 Z T 0 i c 3 s m c X V v d D t j b 2 x 1 b W 5 D b 3 V u d C Z x d W 9 0 O z o 2 L C Z x d W 9 0 O 2 t l e U N v b H V t b k 5 h b W V z J n F 1 b 3 Q 7 O l t d L C Z x d W 9 0 O 3 F 1 Z X J 5 U m V s Y X R p b 2 5 z a G l w c y Z x d W 9 0 O z p b X S w m c X V v d D t j b 2 x 1 b W 5 J Z G V u d G l 0 a W V z J n F 1 b 3 Q 7 O l s m c X V v d D t T Z W N 0 a W 9 u M S 9 U Y W J s Z S A w L 0 F 1 d G 9 S Z W 1 v d m V k Q 2 9 s d W 1 u c z E u e 0 N 1 c n J l b m N 5 I E 5 h b W U s M H 0 m c X V v d D s s J n F 1 b 3 Q 7 U 2 V j d G l v b j E v V G F i b G U g M C 9 B d X R v U m V t b 3 Z l Z E N v b H V t b n M x L n t D b 2 R l L D F 9 J n F 1 b 3 Q 7 L C Z x d W 9 0 O 1 N l Y 3 R p b 2 4 x L 1 R h Y m x l I D A v Q X V 0 b 1 J l b W 9 2 Z W R D b 2 x 1 b W 5 z M S 5 7 M S B n Y n A s M n 0 m c X V v d D s s J n F 1 b 3 Q 7 U 2 V j d G l v b j E v V G F i b G U g M C 9 B d X R v U m V t b 3 Z l Z E N v b H V t b n M x L n t p b i B n Y n A s M 3 0 m c X V v d D s s J n F 1 b 3 Q 7 U 2 V j d G l v b j E v V G F i b G U g M C 9 B d X R v U m V t b 3 Z l Z E N v b H V t b n M x L n t D b 2 5 2 Z X J 0 Z X I s N H 0 m c X V v d D s s J n F 1 b 3 Q 7 U 2 V j d G l v b j E v V G F i b G U g M C 9 B d X R v U m V t b 3 Z l Z E N v b H V t b n M x L n t D a G F y d C w 1 f S Z x d W 9 0 O 1 0 s J n F 1 b 3 Q 7 Q 2 9 s d W 1 u Q 2 9 1 b n Q m c X V v d D s 6 N i w m c X V v d D t L Z X l D b 2 x 1 b W 5 O Y W 1 l c y Z x d W 9 0 O z p b X S w m c X V v d D t D b 2 x 1 b W 5 J Z G V u d G l 0 a W V z J n F 1 b 3 Q 7 O l s m c X V v d D t T Z W N 0 a W 9 u M S 9 U Y W J s Z S A w L 0 F 1 d G 9 S Z W 1 v d m V k Q 2 9 s d W 1 u c z E u e 0 N 1 c n J l b m N 5 I E 5 h b W U s M H 0 m c X V v d D s s J n F 1 b 3 Q 7 U 2 V j d G l v b j E v V G F i b G U g M C 9 B d X R v U m V t b 3 Z l Z E N v b H V t b n M x L n t D b 2 R l L D F 9 J n F 1 b 3 Q 7 L C Z x d W 9 0 O 1 N l Y 3 R p b 2 4 x L 1 R h Y m x l I D A v Q X V 0 b 1 J l b W 9 2 Z W R D b 2 x 1 b W 5 z M S 5 7 M S B n Y n A s M n 0 m c X V v d D s s J n F 1 b 3 Q 7 U 2 V j d G l v b j E v V G F i b G U g M C 9 B d X R v U m V t b 3 Z l Z E N v b H V t b n M x L n t p b i B n Y n A s M 3 0 m c X V v d D s s J n F 1 b 3 Q 7 U 2 V j d G l v b j E v V G F i b G U g M C 9 B d X R v U m V t b 3 Z l Z E N v b H V t b n M x L n t D b 2 5 2 Z X J 0 Z X I s N H 0 m c X V v d D s s J n F 1 b 3 Q 7 U 2 V j d G l v b j E v V G F i b G U g M C 9 B d X R v U m V t b 3 Z l Z E N v b H V t b n M x L n t D a G F y d C w 1 f S Z x d W 9 0 O 1 0 s J n F 1 b 3 Q 7 U m V s Y X R p b 2 5 z a G l w S W 5 m b y Z x d W 9 0 O z p b X X 0 i I C 8 + P C 9 T d G F i b G V F b n R y a W V z P j w v S X R l b T 4 8 S X R l b T 4 8 S X R l b U x v Y 2 F 0 a W 9 u P j x J d G V t V H l w Z T 5 G b 3 J t d W x h P C 9 J d G V t V H l w Z T 4 8 S X R l b V B h d G g + U 2 V j d G l v b j E v V G F i b G U l M j A w L 1 N v d X J j Z T w v S X R l b V B h d G g + P C 9 J d G V t T G 9 j Y X R p b 2 4 + P F N 0 Y W J s Z U V u d H J p Z X M g L z 4 8 L 0 l 0 Z W 0 + P E l 0 Z W 0 + P E l 0 Z W 1 M b 2 N h d G l v b j 4 8 S X R l b V R 5 c G U + R m 9 y b X V s Y T w v S X R l b V R 5 c G U + P E l 0 Z W 1 Q Y X R o P l N l Y 3 R p b 2 4 x L 1 R h Y m x l J T I w M C 9 E Y X R h M D w v S X R l b V B h d G g + P C 9 J d G V t T G 9 j Y X R p b 2 4 + P F N 0 Y W J s Z U V u d H J p Z X M g L z 4 8 L 0 l 0 Z W 0 + P E l 0 Z W 0 + P E l 0 Z W 1 M b 2 N h d G l v b j 4 8 S X R l b V R 5 c G U + R m 9 y b X V s Y T w v S X R l b V R 5 c G U + P E l 0 Z W 1 Q Y X R o P l N l Y 3 R p b 2 4 x L 1 R h Y m x l J T I w M C 9 Q c m 9 t b 3 R l Z C U y M E h l Y W R l c n M 8 L 0 l 0 Z W 1 Q Y X R o P j w v S X R l b U x v Y 2 F 0 a W 9 u P j x T d G F i b G V F b n R y a W V z I C 8 + P C 9 J d G V t P j x J d G V t P j x J d G V t T G 9 j Y X R p b 2 4 + P E l 0 Z W 1 U e X B l P k Z v c m 1 1 b G E 8 L 0 l 0 Z W 1 U e X B l P j x J d G V t U G F 0 a D 5 T Z W N 0 a W 9 u M S 9 U Y W J s Z S U y M D A v Q 2 h h b m d l Z C U y M F R 5 c G U 8 L 0 l 0 Z W 1 Q Y X R o P j w v S X R l b U x v Y 2 F 0 a W 9 u P j x T d G F i b G V F b n R y a W V z I C 8 + P C 9 J d G V t P j x J d G V t P j x J d G V t T G 9 j Y X R p b 2 4 + P E l 0 Z W 1 U e X B l P k Z v c m 1 1 b G E 8 L 0 l 0 Z W 1 U e X B l P j x J d G V t U G F 0 a D 5 T Z W N 0 a W 9 u M S 9 U Y W J s Z S U y M D E 8 L 0 l 0 Z W 1 Q Y X R o P j w v S X R l b U x v Y 2 F 0 a W 9 u P j x T d G F i b G V F b n R y a W V z P j x F b n R y e S B U e X B l P S J R d W V y e U l E I i B W Y W x 1 Z T 0 i c z I 3 M j Z k M D R m L T J m Y j k t N D U 4 N i 0 5 Z j U 4 L T Q 3 M m Y 5 Z T k y N j N h Z i I g L z 4 8 R W 5 0 c n k g V H l w Z T 0 i R m l s b E V u Y W J s Z W Q i I F Z h b H V l P S J s M S I g L z 4 8 R W 5 0 c n k g V H l w Z T 0 i R m l s b E 9 i a m V j d F R 5 c G U i I F Z h b H V l P S J z V G F i b G U i I C 8 + P E V u d H J 5 I F R 5 c G U 9 I k Z p b G x U b 0 R h d G F N b 2 R l b E V u Y W J s Z W Q i I F Z h b H V l P S J s M C I g L z 4 8 R W 5 0 c n k g V H l w Z T 0 i S X N Q c m l 2 Y X R l 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V G F y Z 2 V 0 I i B W Y W x 1 Z T 0 i c 1 R h Y m x l X z E i I C 8 + P E V u d H J 5 I F R 5 c G U 9 I k Z p b G x l Z E N v b X B s Z X R l U m V z d W x 0 V G 9 X b 3 J r c 2 h l Z X Q i I F Z h b H V l P S J s M S I g L z 4 8 R W 5 0 c n k g V H l w Z T 0 i Q W R k Z W R U b 0 R h d G F N b 2 R l b C I g V m F s d W U 9 I m w w I i A v P j x F b n R y e S B U e X B l P S J G a W x s Q 2 9 1 b n Q i I F Z h b H V l P S J s M T Q 2 I i A v P j x F b n R y e S B U e X B l P S J G a W x s R X J y b 3 J D b 2 R l I i B W Y W x 1 Z T 0 i c 1 V u a 2 5 v d 2 4 i I C 8 + P E V u d H J 5 I F R 5 c G U 9 I k Z p b G x F c n J v c k N v d W 5 0 I i B W Y W x 1 Z T 0 i b D A i I C 8 + P E V u d H J 5 I F R 5 c G U 9 I k Z p b G x M Y X N 0 V X B k Y X R l Z C I g V m F s d W U 9 I m Q y M D I 2 L T A 2 L T I 2 V D E 5 O j I x O j A 4 L j U 4 O T E z N T B a I i A v P j x F b n R y e S B U e X B l P S J G a W x s Q 2 9 s d W 1 u V H l w Z X M i I F Z h b H V l P S J z Q m d Z R k J R W U c i I C 8 + P E V u d H J 5 I F R 5 c G U 9 I k Z p b G x D b 2 x 1 b W 5 O Y W 1 l c y I g V m F s d W U 9 I n N b J n F 1 b 3 Q 7 Q 3 V y c m V u Y 3 k g T m F t Z S Z x d W 9 0 O y w m c X V v d D t D b 2 R l J n F 1 b 3 Q 7 L C Z x d W 9 0 O z E g R 0 J Q J n F 1 b 3 Q 7 L C Z x d W 9 0 O 2 l u I E d C U C Z x d W 9 0 O y w m c X V v d D t D b 2 5 2 Z X J 0 Z X I m c X V v d D s s J n F 1 b 3 Q 7 Q 2 h h c n Q m c X V v d D t d I i A v P j x F b n R y e S B U e X B l P S J G a W x s U 3 R h d H V z I i B W Y W x 1 Z T 0 i c 0 N v b X B s Z X R l I i A v P j x F b n R y e S B U e X B l P S J S Z W x h d G l v b n N o a X B J b m Z v Q 2 9 u d G F p b m V y I i B W Y W x 1 Z T 0 i c 3 s m c X V v d D t j b 2 x 1 b W 5 D b 3 V u d C Z x d W 9 0 O z o 2 L C Z x d W 9 0 O 2 t l e U N v b H V t b k 5 h b W V z J n F 1 b 3 Q 7 O l t d L C Z x d W 9 0 O 3 F 1 Z X J 5 U m V s Y X R p b 2 5 z a G l w c y Z x d W 9 0 O z p b X S w m c X V v d D t j b 2 x 1 b W 5 J Z G V u d G l 0 a W V z J n F 1 b 3 Q 7 O l s m c X V v d D t T Z W N 0 a W 9 u M S 9 U Y W J s Z S A x L 0 F 1 d G 9 S Z W 1 v d m V k Q 2 9 s d W 1 u c z E u e 0 N 1 c n J l b m N 5 I E 5 h b W U s M H 0 m c X V v d D s s J n F 1 b 3 Q 7 U 2 V j d G l v b j E v V G F i b G U g M S 9 B d X R v U m V t b 3 Z l Z E N v b H V t b n M x L n t D b 2 R l L D F 9 J n F 1 b 3 Q 7 L C Z x d W 9 0 O 1 N l Y 3 R p b 2 4 x L 1 R h Y m x l I D E v Q X V 0 b 1 J l b W 9 2 Z W R D b 2 x 1 b W 5 z M S 5 7 M S B H Q l A s M n 0 m c X V v d D s s J n F 1 b 3 Q 7 U 2 V j d G l v b j E v V G F i b G U g M S 9 B d X R v U m V t b 3 Z l Z E N v b H V t b n M x L n t p b i B H Q l A s M 3 0 m c X V v d D s s J n F 1 b 3 Q 7 U 2 V j d G l v b j E v V G F i b G U g M S 9 B d X R v U m V t b 3 Z l Z E N v b H V t b n M x L n t D b 2 5 2 Z X J 0 Z X I s N H 0 m c X V v d D s s J n F 1 b 3 Q 7 U 2 V j d G l v b j E v V G F i b G U g M S 9 B d X R v U m V t b 3 Z l Z E N v b H V t b n M x L n t D a G F y d C w 1 f S Z x d W 9 0 O 1 0 s J n F 1 b 3 Q 7 Q 2 9 s d W 1 u Q 2 9 1 b n Q m c X V v d D s 6 N i w m c X V v d D t L Z X l D b 2 x 1 b W 5 O Y W 1 l c y Z x d W 9 0 O z p b X S w m c X V v d D t D b 2 x 1 b W 5 J Z G V u d G l 0 a W V z J n F 1 b 3 Q 7 O l s m c X V v d D t T Z W N 0 a W 9 u M S 9 U Y W J s Z S A x L 0 F 1 d G 9 S Z W 1 v d m V k Q 2 9 s d W 1 u c z E u e 0 N 1 c n J l b m N 5 I E 5 h b W U s M H 0 m c X V v d D s s J n F 1 b 3 Q 7 U 2 V j d G l v b j E v V G F i b G U g M S 9 B d X R v U m V t b 3 Z l Z E N v b H V t b n M x L n t D b 2 R l L D F 9 J n F 1 b 3 Q 7 L C Z x d W 9 0 O 1 N l Y 3 R p b 2 4 x L 1 R h Y m x l I D E v Q X V 0 b 1 J l b W 9 2 Z W R D b 2 x 1 b W 5 z M S 5 7 M S B H Q l A s M n 0 m c X V v d D s s J n F 1 b 3 Q 7 U 2 V j d G l v b j E v V G F i b G U g M S 9 B d X R v U m V t b 3 Z l Z E N v b H V t b n M x L n t p b i B H Q l A s M 3 0 m c X V v d D s s J n F 1 b 3 Q 7 U 2 V j d G l v b j E v V G F i b G U g M S 9 B d X R v U m V t b 3 Z l Z E N v b H V t b n M x L n t D b 2 5 2 Z X J 0 Z X I s N H 0 m c X V v d D s s J n F 1 b 3 Q 7 U 2 V j d G l v b j E v V G F i b G U g M S 9 B d X R v U m V t b 3 Z l Z E N v b H V t b n M x L n t D a G F y d C w 1 f S Z x d W 9 0 O 1 0 s J n F 1 b 3 Q 7 U m V s Y X R p b 2 5 z a G l w S W 5 m b y Z x d W 9 0 O z p b X X 0 i I C 8 + P C 9 T d G F i b G V F b n R y a W V z P j w v S X R l b T 4 8 S X R l b T 4 8 S X R l b U x v Y 2 F 0 a W 9 u P j x J d G V t V H l w Z T 5 G b 3 J t d W x h P C 9 J d G V t V H l w Z T 4 8 S X R l b V B h d G g + U 2 V j d G l v b j E v V G F i b G U l M j A x L 1 N v d X J j Z T w v S X R l b V B h d G g + P C 9 J d G V t T G 9 j Y X R p b 2 4 + P F N 0 Y W J s Z U V u d H J p Z X M g L z 4 8 L 0 l 0 Z W 0 + P E l 0 Z W 0 + P E l 0 Z W 1 M b 2 N h d G l v b j 4 8 S X R l b V R 5 c G U + R m 9 y b X V s Y T w v S X R l b V R 5 c G U + P E l 0 Z W 1 Q Y X R o P l N l Y 3 R p b 2 4 x L 1 R h Y m x l J T I w M S 9 F e H R y Y W N 0 Z W Q l M j B U Y W J s Z S U y M E Z y b 2 0 l M j B I d G 1 s P C 9 J d G V t U G F 0 a D 4 8 L 0 l 0 Z W 1 M b 2 N h d G l v b j 4 8 U 3 R h Y m x l R W 5 0 c m l l c y A v P j w v S X R l b T 4 8 S X R l b T 4 8 S X R l b U x v Y 2 F 0 a W 9 u P j x J d G V t V H l w Z T 5 G b 3 J t d W x h P C 9 J d G V t V H l w Z T 4 8 S X R l b V B h d G g + U 2 V j d G l v b j E v V G F i b G U l M j A x L 1 B y b 2 1 v d G V k J T I w S G V h Z G V y c z w v S X R l b V B h d G g + P C 9 J d G V t T G 9 j Y X R p b 2 4 + P F N 0 Y W J s Z U V u d H J p Z X M g L z 4 8 L 0 l 0 Z W 0 + P E l 0 Z W 0 + P E l 0 Z W 1 M b 2 N h d G l v b j 4 8 S X R l b V R 5 c G U + R m 9 y b X V s Y T w v S X R l b V R 5 c G U + P E l 0 Z W 1 Q Y X R o P l N l Y 3 R p b 2 4 x L 1 R h Y m x l J T I w M S 9 D a G F u Z 2 V k J T I w V H l w Z T w v S X R l b V B h d G g + P C 9 J d G V t T G 9 j Y X R p b 2 4 + P F N 0 Y W J s Z U V u d H J p Z X M g L z 4 8 L 0 l 0 Z W 0 + P C 9 J d G V t c z 4 8 L 0 x v Y 2 F s U G F j a 2 F n Z U 1 l d G F k Y X R h R m l s Z T 4 W A A A A U E s F B g A A A A A A A A A A A A A A A A A A A A A A A C Y B A A A B A A A A 0 I y d 3 w E V 0 R G M e g D A T 8 K X 6 w E A A A C K t L k x r x h t T Y M X C Z b 7 M u V x A A A A A A I A A A A A A B B m A A A A A Q A A I A A A A M m 2 p m 4 X 3 0 8 A 0 u 9 8 P X g w E r k Z w j B Y l 6 K d y k t a T 8 1 H d r / 9 A A A A A A 6 A A A A A A g A A I A A A A J Z 0 a j 9 b 0 J 5 D 2 D P T g 9 y w W V 1 5 P T o N i g l u p s V 2 S 1 u P N o 7 e U A A A A D D I l a 7 K J a R e 5 3 U y 5 I h S s D N / 6 p F S R b 8 8 g 1 Y O V X B Q c L 6 m X X 7 X r 0 z M E C x y 8 m B k H m T H g D H q I v M l R j n p x 9 A J / w 6 z 6 i Q M y H E R G 2 X O G E F J W 9 l p r A 6 2 Q A A A A F J 2 K I V 9 c H D r 2 8 2 e h N a h U 3 L 8 r f z r 9 c X S d I k l F L P X p r x 3 N 2 L 6 s T 3 X Q i i Z M p b x v E 7 T G n w 9 N U 5 j 2 8 K b + 2 9 s K G J f u z g = < / D a t a M a s h u p > 
</file>

<file path=customXml/itemProps1.xml><?xml version="1.0" encoding="utf-8"?>
<ds:datastoreItem xmlns:ds="http://schemas.openxmlformats.org/officeDocument/2006/customXml" ds:itemID="{9C15AF69-3FB6-4893-97C9-2E90DBE09D4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20</vt:i4>
      </vt:variant>
    </vt:vector>
  </HeadingPairs>
  <TitlesOfParts>
    <vt:vector size="24" baseType="lpstr">
      <vt:lpstr>REGISTRATION-LICENCE-DISCLAIMER</vt:lpstr>
      <vt:lpstr>CONSULTANCY FEES CALCULATOR</vt:lpstr>
      <vt:lpstr>EXCHANGE RATES</vt:lpstr>
      <vt:lpstr>Table 1</vt:lpstr>
      <vt:lpstr>Contract_Duration</vt:lpstr>
      <vt:lpstr>Contract_Weeks_In_Year</vt:lpstr>
      <vt:lpstr>Days_In_Week</vt:lpstr>
      <vt:lpstr>Equip_Fees1</vt:lpstr>
      <vt:lpstr>Equip_Fees2</vt:lpstr>
      <vt:lpstr>Equip_Fees3</vt:lpstr>
      <vt:lpstr>Expenses1</vt:lpstr>
      <vt:lpstr>Expenses2</vt:lpstr>
      <vt:lpstr>Expenses3</vt:lpstr>
      <vt:lpstr>HourlyRate1</vt:lpstr>
      <vt:lpstr>HourlyRate2</vt:lpstr>
      <vt:lpstr>HourlyRate3</vt:lpstr>
      <vt:lpstr>Hours_In_Day</vt:lpstr>
      <vt:lpstr>Hours_In_Week</vt:lpstr>
      <vt:lpstr>'EXCHANGE RATES'!ISO_CODE_SYMBOL</vt:lpstr>
      <vt:lpstr>Months_In_Year</vt:lpstr>
      <vt:lpstr>'CONSULTANCY FEES CALCULATOR'!Print_Area</vt:lpstr>
      <vt:lpstr>'EXCHANGE RATES'!Print_Area</vt:lpstr>
      <vt:lpstr>'EXCHANGE RATES'!Print_Titles</vt:lpstr>
      <vt:lpstr>Weeks_In_Year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McCaffrey</dc:creator>
  <cp:lastModifiedBy>Jason McCaffrey</cp:lastModifiedBy>
  <cp:lastPrinted>2021-10-11T19:21:12Z</cp:lastPrinted>
  <dcterms:created xsi:type="dcterms:W3CDTF">2021-10-10T00:54:44Z</dcterms:created>
  <dcterms:modified xsi:type="dcterms:W3CDTF">2026-06-26T19:21:25Z</dcterms:modified>
</cp:coreProperties>
</file>